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835" windowWidth="18015" windowHeight="3900"/>
  </bookViews>
  <sheets>
    <sheet name="ინკურ" sheetId="2" r:id="rId1"/>
    <sheet name="დიალიზი" sheetId="3" r:id="rId2"/>
    <sheet name="დიაბეტი" sheetId="4" r:id="rId3"/>
    <sheet name="ნარკომანია" sheetId="5" r:id="rId4"/>
    <sheet name="იშვიათი" sheetId="6" r:id="rId5"/>
    <sheet name="ჰეპატიტი" sheetId="7" r:id="rId6"/>
    <sheet name="დედათა და ბავშვთა" sheetId="9" r:id="rId7"/>
    <sheet name="ქრონიკული" sheetId="10" r:id="rId8"/>
    <sheet name="Sheet1" sheetId="11" r:id="rId9"/>
  </sheets>
  <definedNames>
    <definedName name="_xlnm._FilterDatabase" localSheetId="2" hidden="1">დიაბეტი!$A$7:$N$28</definedName>
    <definedName name="_xlnm._FilterDatabase" localSheetId="1" hidden="1">დიალიზი!$A$34:$J$78</definedName>
    <definedName name="_xlnm._FilterDatabase" localSheetId="4" hidden="1">იშვიათი!$A$8:$O$34</definedName>
    <definedName name="_xlnm._FilterDatabase" localSheetId="7" hidden="1">ქრონიკული!$A$4:$K$54</definedName>
  </definedNames>
  <calcPr calcId="145621"/>
</workbook>
</file>

<file path=xl/calcChain.xml><?xml version="1.0" encoding="utf-8"?>
<calcChain xmlns="http://schemas.openxmlformats.org/spreadsheetml/2006/main">
  <c r="L16" i="3" l="1"/>
  <c r="G96" i="3"/>
  <c r="J12" i="3"/>
  <c r="J45" i="3" l="1"/>
  <c r="J34" i="3"/>
  <c r="G13" i="3" l="1"/>
  <c r="C59" i="3" l="1"/>
  <c r="J59" i="3" l="1"/>
  <c r="J96" i="3" s="1"/>
  <c r="J78" i="3"/>
  <c r="F20" i="5"/>
  <c r="H18" i="5"/>
  <c r="H15" i="5"/>
  <c r="F15" i="5"/>
  <c r="G54" i="10" l="1"/>
  <c r="H54" i="10"/>
  <c r="I54" i="10"/>
  <c r="J54" i="10"/>
  <c r="J48" i="10"/>
  <c r="J49" i="10"/>
  <c r="J50" i="10"/>
  <c r="J47" i="10"/>
  <c r="J45" i="10"/>
  <c r="J44" i="10"/>
  <c r="J43" i="10"/>
  <c r="J41" i="10"/>
  <c r="J40" i="10"/>
  <c r="J39" i="10"/>
  <c r="J37" i="10"/>
  <c r="J38" i="10"/>
  <c r="J36" i="10"/>
  <c r="J34" i="10"/>
  <c r="J31" i="10"/>
  <c r="J32" i="10"/>
  <c r="J33" i="10"/>
  <c r="J30" i="10"/>
  <c r="J28" i="10"/>
  <c r="J27" i="10"/>
  <c r="J26" i="10"/>
  <c r="J22" i="10"/>
  <c r="J24" i="10"/>
  <c r="D54" i="10"/>
  <c r="E54" i="10"/>
  <c r="F54" i="10"/>
  <c r="C50" i="10"/>
  <c r="C54" i="10"/>
  <c r="E18" i="5" l="1"/>
  <c r="I96" i="3" l="1"/>
  <c r="H96" i="3"/>
  <c r="G77" i="6"/>
  <c r="G69" i="6"/>
  <c r="K74" i="6"/>
  <c r="G62" i="6"/>
  <c r="K59" i="6"/>
  <c r="J9" i="3" l="1"/>
  <c r="J6" i="3"/>
  <c r="K25" i="6"/>
  <c r="D15" i="7"/>
  <c r="E15" i="7"/>
  <c r="C15" i="7"/>
  <c r="H13" i="7"/>
  <c r="H10" i="7"/>
  <c r="E5" i="11" l="1"/>
  <c r="E6" i="11"/>
  <c r="E7" i="11"/>
  <c r="E8" i="11"/>
  <c r="E9" i="11"/>
  <c r="E4" i="11"/>
  <c r="D9" i="11"/>
  <c r="C9" i="11"/>
  <c r="B9" i="11"/>
  <c r="J13" i="10"/>
  <c r="J15" i="10"/>
  <c r="J18" i="10"/>
  <c r="G34" i="6" l="1"/>
  <c r="J5" i="10" l="1"/>
  <c r="J21" i="10"/>
  <c r="K13" i="6" l="1"/>
  <c r="K21" i="6"/>
  <c r="I33" i="4"/>
  <c r="I15" i="4"/>
  <c r="H6" i="9"/>
  <c r="K67" i="6" l="1"/>
  <c r="C96" i="3"/>
  <c r="C13" i="3"/>
  <c r="F28" i="4"/>
  <c r="H10" i="9"/>
  <c r="H9" i="9"/>
  <c r="E10" i="9"/>
  <c r="J5" i="9" l="1"/>
  <c r="H13" i="3"/>
  <c r="I34" i="6" l="1"/>
  <c r="G85" i="6" l="1"/>
  <c r="K9" i="6" l="1"/>
  <c r="J12" i="10" l="1"/>
  <c r="J9" i="10"/>
  <c r="K82" i="6"/>
  <c r="K15" i="6" l="1"/>
  <c r="J10" i="10" l="1"/>
  <c r="K62" i="6"/>
  <c r="M57" i="6" s="1"/>
  <c r="O57" i="6" s="1"/>
  <c r="D40" i="6"/>
  <c r="K33" i="6"/>
  <c r="K34" i="6" s="1"/>
  <c r="K19" i="6"/>
  <c r="K48" i="6"/>
  <c r="K55" i="6" s="1"/>
  <c r="M46" i="6" s="1"/>
  <c r="O46" i="6" s="1"/>
  <c r="K52" i="6"/>
  <c r="J8" i="3"/>
  <c r="J7" i="3"/>
  <c r="D8" i="4"/>
  <c r="I26" i="4"/>
  <c r="I24" i="4"/>
  <c r="I22" i="4"/>
  <c r="I20" i="4"/>
  <c r="I18" i="4"/>
  <c r="I28" i="4"/>
  <c r="K6" i="7"/>
  <c r="M6" i="7"/>
  <c r="J6" i="5"/>
  <c r="L6" i="5" s="1"/>
  <c r="G18" i="2"/>
  <c r="G14" i="2"/>
  <c r="G15" i="2"/>
  <c r="G16" i="2"/>
  <c r="G17" i="2"/>
  <c r="G19" i="2" s="1"/>
  <c r="K66" i="6"/>
  <c r="K70" i="6" s="1"/>
  <c r="M64" i="6" s="1"/>
  <c r="O64" i="6" s="1"/>
  <c r="K77" i="6"/>
  <c r="M72" i="6" s="1"/>
  <c r="O72" i="6" s="1"/>
  <c r="K38" i="6"/>
  <c r="K85" i="6"/>
  <c r="M80" i="6" s="1"/>
  <c r="O80" i="6" s="1"/>
  <c r="C36" i="4"/>
  <c r="E19" i="2"/>
  <c r="D15" i="4"/>
  <c r="D28" i="4" s="1"/>
  <c r="C55" i="6"/>
  <c r="D44" i="6"/>
  <c r="C85" i="6"/>
  <c r="C19" i="2"/>
  <c r="I7" i="2" s="1"/>
  <c r="K7" i="2" s="1"/>
  <c r="D64" i="10"/>
  <c r="F15" i="7"/>
  <c r="G15" i="7"/>
  <c r="F36" i="4"/>
  <c r="H15" i="7"/>
  <c r="G36" i="4"/>
  <c r="H36" i="4"/>
  <c r="I36" i="4"/>
  <c r="K32" i="4"/>
  <c r="M32" i="4" s="1"/>
  <c r="K44" i="6"/>
  <c r="G55" i="6"/>
  <c r="E55" i="6"/>
  <c r="C77" i="6"/>
  <c r="C62" i="6"/>
  <c r="E44" i="6"/>
  <c r="G44" i="6"/>
  <c r="L11" i="6" s="1"/>
  <c r="J13" i="3" l="1"/>
  <c r="L5" i="3" s="1"/>
  <c r="L34" i="6"/>
  <c r="M8" i="6"/>
  <c r="K7" i="4"/>
  <c r="M7" i="4" s="1"/>
  <c r="M36" i="6"/>
  <c r="O36" i="6" s="1"/>
  <c r="M11" i="6"/>
  <c r="O8" i="6"/>
  <c r="D34" i="6"/>
  <c r="N5" i="3"/>
  <c r="N16" i="3" l="1"/>
</calcChain>
</file>

<file path=xl/sharedStrings.xml><?xml version="1.0" encoding="utf-8"?>
<sst xmlns="http://schemas.openxmlformats.org/spreadsheetml/2006/main" count="714" uniqueCount="377">
  <si>
    <t>ხელშეკრულება</t>
  </si>
  <si>
    <t>ღირებულება</t>
  </si>
  <si>
    <t>მედიკამენტი</t>
  </si>
  <si>
    <t>თანხა</t>
  </si>
  <si>
    <t>გადარიცხვის თარიღი</t>
  </si>
  <si>
    <t>ჩამანაცვლებელი ნარკოტიკის შესყიდვა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</si>
  <si>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</si>
  <si>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</si>
  <si>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</si>
  <si>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</si>
  <si>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</si>
  <si>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სამედიცინო დაწესებულება</t>
  </si>
  <si>
    <t>იუვენულური რევმატოიდული ართრითი</t>
  </si>
  <si>
    <t>თალასემია</t>
  </si>
  <si>
    <t>ხელშეკრულების ღირებულება</t>
  </si>
  <si>
    <t>გადარიცხული თანხა</t>
  </si>
  <si>
    <t>წლის ბოლომდე გადასარიცხი თანხა</t>
  </si>
  <si>
    <t>გადარიცხული თანხა (ლარი)</t>
  </si>
  <si>
    <t>გადარიცხული თანხა (აშშ)</t>
  </si>
  <si>
    <t>დიაბეტის მართვა (35 03 03 02 )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</si>
  <si>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</si>
  <si>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 პაციენტთა მედიკამენტებით უზრუნველყოფა</t>
  </si>
  <si>
    <t>ინკურაბელურ პაციენტთა პალიატიური მზრუნველობა (35 03 03 05)</t>
  </si>
  <si>
    <t>ინკურაბელურ პაციენტთა მედიკამენტებით უზრუნველყოფა</t>
  </si>
  <si>
    <t>დიალიზი და თირკმლის ტრანსპლანტაცია 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</si>
  <si>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</si>
  <si>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>ნარკომანია (35 03 02 10)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</si>
  <si>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მკურნალობა( 35 03 03 06)</t>
  </si>
  <si>
    <t>C - ჰეპატიტის მართვა</t>
  </si>
  <si>
    <t>გადარიცხული თანხა (ვალუტა)</t>
  </si>
  <si>
    <t>ჰეპარინი</t>
  </si>
  <si>
    <t>შპს პსპ-ფარმა</t>
  </si>
  <si>
    <t>ნატრიუმის მიკოფენოლატი</t>
  </si>
  <si>
    <t>ერითროპოეტინი</t>
  </si>
  <si>
    <t>შპს ვია-ვიტა</t>
  </si>
  <si>
    <t>სახარჯი მასალა</t>
  </si>
  <si>
    <t>ციკლოსპორინი</t>
  </si>
  <si>
    <t>შპს ნუგეში</t>
  </si>
  <si>
    <t>ორგანოგადანერგილთა იმუნოსუპრესული მედიკამენტებით უზრუნველყოფა</t>
  </si>
  <si>
    <t>შპს პსპ ფარმა</t>
  </si>
  <si>
    <t>სს მედინსერვი</t>
  </si>
  <si>
    <t>რკინის სუკროზა</t>
  </si>
  <si>
    <t>სორბიფერ დურულესი</t>
  </si>
  <si>
    <t>novo nordisk a/s denmark</t>
  </si>
  <si>
    <t>ინსულატარდი, აკტრაპიდი</t>
  </si>
  <si>
    <t>გადარიცხული თანხა(აშშ)</t>
  </si>
  <si>
    <t>სს სანოფი-ავენტის უნგრეთი</t>
  </si>
  <si>
    <t>გეგმა</t>
  </si>
  <si>
    <t>ვალდებულება</t>
  </si>
  <si>
    <t>სატენდერო ეკონომია</t>
  </si>
  <si>
    <t>ლარი</t>
  </si>
  <si>
    <t>გადარიცხული თანხა (ევრო)</t>
  </si>
  <si>
    <t>გლუკაგონი</t>
  </si>
  <si>
    <t>ანტიჰემოფილური  IX ფაქტორ-კონცენტრატი</t>
  </si>
  <si>
    <t>ექსჯადი</t>
  </si>
  <si>
    <t>შპს ავერსი-ფარმა</t>
  </si>
  <si>
    <t>ანტიჰემოფილური VIII ფაქტორ-კონცენტრატი</t>
  </si>
  <si>
    <t xml:space="preserve">N35030306/17-8 29.12.2016 </t>
  </si>
  <si>
    <t>პსპ ფარმა</t>
  </si>
  <si>
    <t>კრეზამი 25000</t>
  </si>
  <si>
    <t>სს კომპანია მედინსერვი</t>
  </si>
  <si>
    <t>ანტიინჰიბიტორული კოაგულაციური კომპლექსი</t>
  </si>
  <si>
    <t>აქტივირებული პროთრომბინ კომპლექსი</t>
  </si>
  <si>
    <t>რეკომბინანტულიაქტივირებული კოაგულაციური  VII ფაქტორი</t>
  </si>
  <si>
    <t>ნოვო ნორდისკი</t>
  </si>
  <si>
    <t>ნოვორაპიდი პემფილი</t>
  </si>
  <si>
    <t>ლევემირი პენფილი</t>
  </si>
  <si>
    <t>Hoffmann- la Roche</t>
  </si>
  <si>
    <t>ტოცილეზუბამი</t>
  </si>
  <si>
    <t>ქრონიკული დაავადებების სამკურნალო მედიკამენტებით უზრუნველყოფის პროგრამა (35 03 03 11 )</t>
  </si>
  <si>
    <t>სერედიტი დისკუსი</t>
  </si>
  <si>
    <t>სს გეფა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</si>
  <si>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</si>
  <si>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ქრონიკული დაავადებათა სამკურნალო ფარმაცევტული პროდუქტის შესყიდვა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</si>
  <si>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</si>
  <si>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</si>
  <si>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ფილტვის ქრონიკული დაავადებათა სამკურნალო ფარმაცევტული პროდუქტი</t>
  </si>
  <si>
    <t>დიაბეტის (ტიპი 2) სამკურნალო ფარმაცევტული პროდუქტი</t>
  </si>
  <si>
    <t>დიაბეტონი</t>
  </si>
  <si>
    <t>სს ბიოფარმი</t>
  </si>
  <si>
    <t>ანტიდიურეზული ჰორმონი</t>
  </si>
  <si>
    <t>შპს მედფარმა პლუსი</t>
  </si>
  <si>
    <t>ლარებში</t>
  </si>
  <si>
    <t>რესურსი</t>
  </si>
  <si>
    <t>ხელშეკრულების ღირებულება ლარებში</t>
  </si>
  <si>
    <t>სპეცპირობა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</si>
  <si>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</si>
  <si>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ლოჯისტიკა</t>
  </si>
  <si>
    <t>ALKALOID AD skopje</t>
  </si>
  <si>
    <t>10.04.2018</t>
  </si>
  <si>
    <t>სს სს გეფა</t>
  </si>
  <si>
    <t>მორფინი ჰიდროქლორიდი</t>
  </si>
  <si>
    <t>მორფინი სულფატი</t>
  </si>
  <si>
    <t>XIII ფაქტორ-კონცენტრატი</t>
  </si>
  <si>
    <t>N35030306/18-6 12.01.2018</t>
  </si>
  <si>
    <t>N35030306/18-5 08.01.2018</t>
  </si>
  <si>
    <t>N35030306/18-1 3.01.2018</t>
  </si>
  <si>
    <t>შპს ნუტრილაინი</t>
  </si>
  <si>
    <t>N35030306/17-33 19.12.2017</t>
  </si>
  <si>
    <t>საკვები დანამატი</t>
  </si>
  <si>
    <t>1აშშ=2.5772 ლარი</t>
  </si>
  <si>
    <t>1ევრო=3.0282 ლარი</t>
  </si>
  <si>
    <t>N35030306/17-32 19.12.2017</t>
  </si>
  <si>
    <t>საიზენი</t>
  </si>
  <si>
    <t>N35030306/17-27 13.11.2017</t>
  </si>
  <si>
    <t>N35030306/17-31 28.11.2017</t>
  </si>
  <si>
    <t>392239.8აშშ</t>
  </si>
  <si>
    <t>156000 აშშ</t>
  </si>
  <si>
    <t>N35030302/17-29 16.11.2017</t>
  </si>
  <si>
    <t>N35030302/17-28 13.11.2017</t>
  </si>
  <si>
    <t>N35030306/17-26 13.11.2017</t>
  </si>
  <si>
    <t>N35030306/17-24 2.11.2017</t>
  </si>
  <si>
    <t>ეტანერცეპტი</t>
  </si>
  <si>
    <t>.</t>
  </si>
  <si>
    <t>N 35030302/17-16 29.11.2017</t>
  </si>
  <si>
    <t>14654 აშშ</t>
  </si>
  <si>
    <t>N 35030302/17-17; 04.12.2017</t>
  </si>
  <si>
    <t>82500 აშშ</t>
  </si>
  <si>
    <t>79200 აშშ</t>
  </si>
  <si>
    <t>900875 აშშ</t>
  </si>
  <si>
    <t>N 35030302/17-19 04.12.2017</t>
  </si>
  <si>
    <t>N 35030302/17-20 04.12.2017</t>
  </si>
  <si>
    <t>63756  აშშ</t>
  </si>
  <si>
    <t>ნოვოპენი</t>
  </si>
  <si>
    <t>28560 აშშ</t>
  </si>
  <si>
    <t>N 35030302/17-21 24.11.2017</t>
  </si>
  <si>
    <t>N 35030302/17-22; 04.12.2017</t>
  </si>
  <si>
    <t>N35030302/18-2  04.02.2016-31.01.2018</t>
  </si>
  <si>
    <t>1945014 ევრო</t>
  </si>
  <si>
    <t>აპიდრა, ლანტუსი</t>
  </si>
  <si>
    <t>მიკოფენოლატის მოფერტილი</t>
  </si>
  <si>
    <t>1აშშ=2.5772ლარი</t>
  </si>
  <si>
    <t>N3503030401/18-3    05.012018</t>
  </si>
  <si>
    <t>N3503030401/18-2   04.01.2018</t>
  </si>
  <si>
    <t>N3503030401/18-1     04.01.2018</t>
  </si>
  <si>
    <t>1აშშ=2.5671ლარი</t>
  </si>
  <si>
    <t>1 ევრო=3.0667ლარი</t>
  </si>
  <si>
    <t>6.02.2018</t>
  </si>
  <si>
    <t>29.01.2018</t>
  </si>
  <si>
    <t>02.02.2018</t>
  </si>
  <si>
    <t>14.02.2018</t>
  </si>
  <si>
    <t>24.01.2018</t>
  </si>
  <si>
    <t>12.02.2018</t>
  </si>
  <si>
    <t>კურსის ცვლილებით სხვაობა</t>
  </si>
  <si>
    <t>გადარიცხულია (აშშ/ევრო)</t>
  </si>
  <si>
    <t>28.02.2018</t>
  </si>
  <si>
    <t>7.03.2018</t>
  </si>
  <si>
    <t>1.03.2018</t>
  </si>
  <si>
    <t>27.02.2018</t>
  </si>
  <si>
    <t>9.01.2018</t>
  </si>
  <si>
    <t>9.01.2017</t>
  </si>
  <si>
    <t>15.01.2018</t>
  </si>
  <si>
    <t>23.01.2018</t>
  </si>
  <si>
    <t>30.01.2018</t>
  </si>
  <si>
    <t>31.01.2018</t>
  </si>
  <si>
    <t>01.02.2018</t>
  </si>
  <si>
    <t>N35030306/18-2 5.01.2018</t>
  </si>
  <si>
    <t>7.02.2018</t>
  </si>
  <si>
    <t>15.02.2018</t>
  </si>
  <si>
    <t>16.02.2018</t>
  </si>
  <si>
    <t>N35030302/17-30  4.12.2017</t>
  </si>
  <si>
    <t>21.03.2018</t>
  </si>
  <si>
    <t>23.03.2018</t>
  </si>
  <si>
    <t>27.03.2018</t>
  </si>
  <si>
    <t>N 35030302/17-18 ;04.12.2017</t>
  </si>
  <si>
    <t>05.04.2018</t>
  </si>
  <si>
    <t>N35030304/18-4 31.01.2018</t>
  </si>
  <si>
    <t>1აშშ=2.5429ლარი</t>
  </si>
  <si>
    <t>03.04.2018</t>
  </si>
  <si>
    <t>28.03.2018</t>
  </si>
  <si>
    <t>N35030304/18-9 20.03.2018</t>
  </si>
  <si>
    <t>N35030304/18-10 20.03.2018</t>
  </si>
  <si>
    <t>1 ევრო=3.0595ლარი</t>
  </si>
  <si>
    <t>დაბალმოლეკულური ჰეპარინი</t>
  </si>
  <si>
    <t>N35030304/18-8 14 .03.2018</t>
  </si>
  <si>
    <t>N35030304/18-7 27.02.2018</t>
  </si>
  <si>
    <t>19.03.2018</t>
  </si>
  <si>
    <t>1აშშ=2.4637ლარი</t>
  </si>
  <si>
    <t>N3503030401/18-6  20.02.2018</t>
  </si>
  <si>
    <t>16.03.2018</t>
  </si>
  <si>
    <t>N3503030401/18-5   31.012018</t>
  </si>
  <si>
    <t>ტაკროლიმუსი</t>
  </si>
  <si>
    <t>26.03.2018</t>
  </si>
  <si>
    <t>02.04.2018</t>
  </si>
  <si>
    <t>15.03.2018</t>
  </si>
  <si>
    <t>N3503030401/18-11  05.04.2018</t>
  </si>
  <si>
    <t>შპს მერმისი</t>
  </si>
  <si>
    <t>1აშშ=2.4462ლარი</t>
  </si>
  <si>
    <t>13.04.2018</t>
  </si>
  <si>
    <t>18.04.2018</t>
  </si>
  <si>
    <t>20.04.2018</t>
  </si>
  <si>
    <t>35030305/17-11</t>
  </si>
  <si>
    <t>35030305/17-7</t>
  </si>
  <si>
    <t>35030305/17-8</t>
  </si>
  <si>
    <t>35030305/17-9</t>
  </si>
  <si>
    <t>35030305/17-10</t>
  </si>
  <si>
    <t>35030305/18-1</t>
  </si>
  <si>
    <t>01.03.2018</t>
  </si>
  <si>
    <t>20.02.2018</t>
  </si>
  <si>
    <t>30.04.2018</t>
  </si>
  <si>
    <t>შპს თისოჰმ</t>
  </si>
  <si>
    <t>12.03.2018</t>
  </si>
  <si>
    <t>24.04.2018</t>
  </si>
  <si>
    <t>13.02.2018</t>
  </si>
  <si>
    <t>მორფინი ჰიდროქლორიდი/სულფატი</t>
  </si>
  <si>
    <t>მეტადონის ჰიდროქლორიდი</t>
  </si>
  <si>
    <t>17822.27 ევრო</t>
  </si>
  <si>
    <t>35030210/17-12   15.11.2017</t>
  </si>
  <si>
    <t>სუბოქსონი</t>
  </si>
  <si>
    <t>35030212/18-5 17.04.2018</t>
  </si>
  <si>
    <t>რიბავირინი</t>
  </si>
  <si>
    <t>N35030311/3   19.04.2018</t>
  </si>
  <si>
    <t>N35030311/4  23.04.2018</t>
  </si>
  <si>
    <t>მედროლი/მეტილპრედნიზოლონი</t>
  </si>
  <si>
    <t>02.05.2018</t>
  </si>
  <si>
    <t>11.06.2018</t>
  </si>
  <si>
    <t>99663.60 ევრო</t>
  </si>
  <si>
    <t>01.05.2018</t>
  </si>
  <si>
    <t>30.05.2018</t>
  </si>
  <si>
    <t>07.05.2018</t>
  </si>
  <si>
    <t>07.06.2018</t>
  </si>
  <si>
    <t>10.05.2018</t>
  </si>
  <si>
    <t>28.05.2018</t>
  </si>
  <si>
    <t>04.06.2018</t>
  </si>
  <si>
    <t>06.06.2018</t>
  </si>
  <si>
    <t>14.06.2018</t>
  </si>
  <si>
    <t>31.05.2018</t>
  </si>
  <si>
    <t>N35030306/18-11 18.05.2018</t>
  </si>
  <si>
    <t>N35030306/18-12 5.06.2018</t>
  </si>
  <si>
    <t>ოქტაგამი</t>
  </si>
  <si>
    <t>03.05.2018</t>
  </si>
  <si>
    <t>13.06.2018</t>
  </si>
  <si>
    <t>18.06.2018</t>
  </si>
  <si>
    <t>გადარიცხულია</t>
  </si>
  <si>
    <t>11.05.2018</t>
  </si>
  <si>
    <t>35030210/17-13    03.11.2017</t>
  </si>
  <si>
    <t>35030210/17-14  20.11.2017</t>
  </si>
  <si>
    <t>ინფრასტრუქტურულ პროექტში</t>
  </si>
  <si>
    <t>19.06.2018</t>
  </si>
  <si>
    <t>28.06.2018</t>
  </si>
  <si>
    <t>13.07.2018</t>
  </si>
  <si>
    <t>06.07.2018</t>
  </si>
  <si>
    <t>11.07.2018</t>
  </si>
  <si>
    <t>16.04.2018</t>
  </si>
  <si>
    <t>26.07.2018</t>
  </si>
  <si>
    <t>02.07.2018</t>
  </si>
  <si>
    <t>18.07.2018</t>
  </si>
  <si>
    <t>ბრეტარისი/ aklidinum bromide</t>
  </si>
  <si>
    <t>N35030311/9  06.07.2018</t>
  </si>
  <si>
    <t>N35030311/5  19.06.2018</t>
  </si>
  <si>
    <t>N35030311/10 13.07.2018</t>
  </si>
  <si>
    <t>N35030311/11 13.07.2018</t>
  </si>
  <si>
    <t>ზილტი/klopidogreli</t>
  </si>
  <si>
    <t>ლ-თიროქსინი</t>
  </si>
  <si>
    <t>N35030311/12 13.07.2018</t>
  </si>
  <si>
    <t>ლორისტა/losartan potassium</t>
  </si>
  <si>
    <t>N35030311/13 13.07.2018</t>
  </si>
  <si>
    <t>დიგოქსინი</t>
  </si>
  <si>
    <t>17.07.2018</t>
  </si>
  <si>
    <t>შპს ნეოფარმი</t>
  </si>
  <si>
    <t>23.08.2018</t>
  </si>
  <si>
    <t>35030209/18-7 13.07.2018</t>
  </si>
  <si>
    <t>35030209/18-2  05.01.2018</t>
  </si>
  <si>
    <t>15.08.25018</t>
  </si>
  <si>
    <t>13.08.2018</t>
  </si>
  <si>
    <t>03.08.2018</t>
  </si>
  <si>
    <t>10.08.2018</t>
  </si>
  <si>
    <t>07.08.2018</t>
  </si>
  <si>
    <t>22.08.2018</t>
  </si>
  <si>
    <t>09.08.2018</t>
  </si>
  <si>
    <t>03.09.2018</t>
  </si>
  <si>
    <t>25.09.08</t>
  </si>
  <si>
    <t>17.09.2019</t>
  </si>
  <si>
    <t>25.09.2018</t>
  </si>
  <si>
    <t>04.09.2018</t>
  </si>
  <si>
    <t>05.09.2018</t>
  </si>
  <si>
    <t>11.09.2018</t>
  </si>
  <si>
    <t>14.09.2018</t>
  </si>
  <si>
    <t>27.09.2018</t>
  </si>
  <si>
    <t>07.09.2018</t>
  </si>
  <si>
    <t>17.09.2018</t>
  </si>
  <si>
    <t>18.09.2018</t>
  </si>
  <si>
    <t>35030212/18-8 17.04.2018</t>
  </si>
  <si>
    <t>N35030311/14 26.09.2018.2018</t>
  </si>
  <si>
    <t>N35030311/15 26.09.2018.2018</t>
  </si>
  <si>
    <t>11.09.2019</t>
  </si>
  <si>
    <t>12.09.2018</t>
  </si>
  <si>
    <t>01.10.2018</t>
  </si>
  <si>
    <t>03.10.2018</t>
  </si>
  <si>
    <t>08.10.2018</t>
  </si>
  <si>
    <t>ხარჯი</t>
  </si>
  <si>
    <t>სულ</t>
  </si>
  <si>
    <t>კომპონენტი</t>
  </si>
  <si>
    <t>სხვაობა</t>
  </si>
  <si>
    <t>N35030311/16 30.10. .2018</t>
  </si>
  <si>
    <t>ლოსარტანი</t>
  </si>
  <si>
    <t>ნებივოლოლი</t>
  </si>
  <si>
    <t>N35030311/17 30.10. .2018</t>
  </si>
  <si>
    <t>N35030311/18 30.10. .2018</t>
  </si>
  <si>
    <t>მეტოპროლოლი</t>
  </si>
  <si>
    <t>N35030311/19 31.10. .2018</t>
  </si>
  <si>
    <t>მეტფორმინი</t>
  </si>
  <si>
    <t>N35030311/20 05.11.2018</t>
  </si>
  <si>
    <t>ლევოტიროქსინი</t>
  </si>
  <si>
    <t>N35030311/21 08.11.2018</t>
  </si>
  <si>
    <t>ნერვული სისტემები</t>
  </si>
  <si>
    <t>ლამოტრიგინი</t>
  </si>
  <si>
    <t>35030212/18-10 25.09.2018</t>
  </si>
  <si>
    <t>02.10.2018</t>
  </si>
  <si>
    <t>16.10.2018</t>
  </si>
  <si>
    <t>23.10.2018</t>
  </si>
  <si>
    <t>04.10.2018</t>
  </si>
  <si>
    <t>05.10.2018</t>
  </si>
  <si>
    <t>10.10.2018</t>
  </si>
  <si>
    <t>29.10.2018</t>
  </si>
  <si>
    <t>11.10.2018</t>
  </si>
  <si>
    <t>18.10.2018</t>
  </si>
  <si>
    <t>12.12.2018</t>
  </si>
  <si>
    <t>27.11.2018</t>
  </si>
  <si>
    <t>04.12.2018</t>
  </si>
  <si>
    <t>03.12.2018</t>
  </si>
  <si>
    <t>05.11.2018</t>
  </si>
  <si>
    <t>06.11.2018</t>
  </si>
  <si>
    <t>29.11.2018</t>
  </si>
  <si>
    <t>07.11.2018</t>
  </si>
  <si>
    <t>09.11.2018</t>
  </si>
  <si>
    <t>07.12.2018</t>
  </si>
  <si>
    <t>19.11.2018</t>
  </si>
  <si>
    <t>35030210/18-10   02.10.2018</t>
  </si>
  <si>
    <t>93534.53 ევრო</t>
  </si>
  <si>
    <t>N35030311/22 20.11.2018</t>
  </si>
  <si>
    <t>ატორვასტატინი</t>
  </si>
  <si>
    <t>N35030311/23 20.11.2018</t>
  </si>
  <si>
    <t>ატორასი 40</t>
  </si>
  <si>
    <t>N35030311/24 20.11.2018</t>
  </si>
  <si>
    <t>N35030311/25 21.11.2018</t>
  </si>
  <si>
    <t>N35030311/26 27.11.2018</t>
  </si>
  <si>
    <t>თიროზოლი</t>
  </si>
  <si>
    <t>N35030311/27 29.11.2018</t>
  </si>
  <si>
    <t>მადოპარი</t>
  </si>
  <si>
    <t>N35030311/28 29.11.2018</t>
  </si>
  <si>
    <t>ლოსარ-დენკ</t>
  </si>
  <si>
    <t>N35030311/29 29.11.2018</t>
  </si>
  <si>
    <t>ბრეტარისი ჯენუვირი</t>
  </si>
  <si>
    <t>N35030311/30 29.11.2018</t>
  </si>
  <si>
    <t>ნაკომი</t>
  </si>
  <si>
    <t>N35030311/31 29.11.2018</t>
  </si>
  <si>
    <t>კარდიომაგნილი</t>
  </si>
  <si>
    <t>N35030311/32 03.12.2018</t>
  </si>
  <si>
    <t>ნეიროლეფსინი</t>
  </si>
  <si>
    <t>ამარილი</t>
  </si>
  <si>
    <t>N35030311/33 03.12.201</t>
  </si>
  <si>
    <t>N35030311/34 04.12.201</t>
  </si>
  <si>
    <t>აცეტილსალიცილის მჟავა</t>
  </si>
  <si>
    <t>N35030311/35 04.12.201</t>
  </si>
  <si>
    <t>ლევეტირაცეტამი</t>
  </si>
  <si>
    <t>N35030311/36 11.12.201</t>
  </si>
  <si>
    <t>დანები</t>
  </si>
  <si>
    <t>N35030311/37 12.12.201</t>
  </si>
  <si>
    <t>სანოფი ავენტისი</t>
  </si>
  <si>
    <t>დეპაკინი</t>
  </si>
  <si>
    <t>08.11.2018</t>
  </si>
  <si>
    <t>16.11.2018</t>
  </si>
  <si>
    <t>21.11.2018</t>
  </si>
  <si>
    <t>22.11.2018</t>
  </si>
  <si>
    <t>10.12.2018</t>
  </si>
  <si>
    <t>10.12.20148</t>
  </si>
  <si>
    <t>13.12.2018</t>
  </si>
  <si>
    <t>14.12.2018</t>
  </si>
  <si>
    <t>21.12.2018</t>
  </si>
  <si>
    <t>20.12.2018</t>
  </si>
  <si>
    <t>19.12.2018</t>
  </si>
  <si>
    <t>28.12.2018</t>
  </si>
  <si>
    <t>25.12.2018</t>
  </si>
  <si>
    <t>35030304/18-12</t>
  </si>
  <si>
    <t>26.12.2018</t>
  </si>
  <si>
    <t>შპს შპს პსპ ფარმა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</si>
</sst>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409]#,##0.00"/>
    <numFmt numFmtId="165" formatCode="[$-10409]dd/mm/yyyy"/>
    <numFmt numFmtId="166" formatCode="#,##0.00000000000"/>
    <numFmt numFmtId="167" formatCode="#,##0.000"/>
    <numFmt numFmtId="168" formatCode="#,##0.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1"/>
    </font>
    <font>
      <sz val="10"/>
      <name val="Arial"/>
      <family val="2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8"/>
      <color rgb="FF000000"/>
      <name val="Sylfaen"/>
      <family val="1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Sylfae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0"/>
      <color rgb="FF000000"/>
      <name val="Sylfaen"/>
      <family val="1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Sylfaen"/>
      <family val="1"/>
    </font>
    <font>
      <sz val="9"/>
      <color rgb="FF000000"/>
      <name val="Sylfae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color rgb="FF000000"/>
      <name val="Sylfaen"/>
      <family val="1"/>
    </font>
    <font>
      <sz val="8"/>
      <color rgb="FF000000"/>
      <name val="Arial"/>
      <family val="2"/>
    </font>
    <font>
      <sz val="8"/>
      <color rgb="FF000000"/>
      <name val="Sylfaen"/>
      <family val="1"/>
    </font>
    <font>
      <sz val="8"/>
      <color rgb="FF000000"/>
      <name val="Arial"/>
      <family val="2"/>
    </font>
    <font>
      <sz val="10"/>
      <name val="LitNusx"/>
      <family val="2"/>
    </font>
    <font>
      <b/>
      <sz val="9"/>
      <name val="AcadMtavr"/>
    </font>
    <font>
      <b/>
      <sz val="9"/>
      <color rgb="FFC00000"/>
      <name val="AcadMtavr"/>
    </font>
    <font>
      <sz val="9"/>
      <name val="Calibri"/>
      <family val="2"/>
      <charset val="204"/>
      <scheme val="minor"/>
    </font>
    <font>
      <b/>
      <sz val="12"/>
      <name val="Sylfaen"/>
      <family val="1"/>
    </font>
    <font>
      <b/>
      <sz val="10"/>
      <color theme="1"/>
      <name val="Sylfaen"/>
      <family val="1"/>
    </font>
    <font>
      <b/>
      <sz val="8"/>
      <color rgb="FF000000"/>
      <name val="Sylfaen"/>
      <family val="1"/>
    </font>
    <font>
      <sz val="12"/>
      <color theme="1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8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25" fillId="0" borderId="0"/>
    <xf numFmtId="0" fontId="26" fillId="0" borderId="0">
      <alignment wrapText="1"/>
    </xf>
    <xf numFmtId="0" fontId="1" fillId="0" borderId="0"/>
  </cellStyleXfs>
  <cellXfs count="414">
    <xf numFmtId="0" fontId="0" fillId="0" borderId="0" xfId="0"/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/>
    <xf numFmtId="165" fontId="12" fillId="0" borderId="1" xfId="0" applyNumberFormat="1" applyFont="1" applyFill="1" applyBorder="1" applyAlignment="1">
      <alignment horizontal="center" vertical="center" readingOrder="1"/>
    </xf>
    <xf numFmtId="0" fontId="8" fillId="2" borderId="0" xfId="0" applyFont="1" applyFill="1" applyAlignment="1"/>
    <xf numFmtId="0" fontId="0" fillId="0" borderId="0" xfId="0" applyAlignment="1"/>
    <xf numFmtId="0" fontId="0" fillId="0" borderId="0" xfId="0" applyAlignment="1">
      <alignment wrapText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0" fillId="0" borderId="0" xfId="0" applyFont="1" applyAlignment="1"/>
    <xf numFmtId="164" fontId="16" fillId="0" borderId="0" xfId="0" applyNumberFormat="1" applyFont="1" applyAlignment="1">
      <alignment horizontal="center" vertical="center"/>
    </xf>
    <xf numFmtId="164" fontId="11" fillId="2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readingOrder="1"/>
    </xf>
    <xf numFmtId="164" fontId="11" fillId="2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 vertical="center" readingOrder="1"/>
    </xf>
    <xf numFmtId="0" fontId="8" fillId="0" borderId="0" xfId="0" applyFont="1" applyBorder="1" applyAlignment="1"/>
    <xf numFmtId="165" fontId="13" fillId="0" borderId="0" xfId="0" applyNumberFormat="1" applyFont="1" applyFill="1" applyBorder="1" applyAlignment="1">
      <alignment horizontal="center" vertical="center" readingOrder="1"/>
    </xf>
    <xf numFmtId="164" fontId="19" fillId="0" borderId="0" xfId="0" applyNumberFormat="1" applyFont="1" applyFill="1" applyBorder="1" applyAlignment="1">
      <alignment horizontal="center" vertical="center" wrapText="1" readingOrder="1"/>
    </xf>
    <xf numFmtId="164" fontId="19" fillId="2" borderId="0" xfId="0" applyNumberFormat="1" applyFont="1" applyFill="1" applyBorder="1" applyAlignment="1">
      <alignment horizontal="center" vertical="center" readingOrder="1"/>
    </xf>
    <xf numFmtId="164" fontId="11" fillId="0" borderId="1" xfId="0" applyNumberFormat="1" applyFont="1" applyFill="1" applyBorder="1" applyAlignment="1">
      <alignment horizontal="center" vertical="center" readingOrder="1"/>
    </xf>
    <xf numFmtId="164" fontId="11" fillId="0" borderId="1" xfId="3" applyNumberFormat="1" applyFont="1" applyFill="1" applyBorder="1" applyAlignment="1">
      <alignment horizontal="center" vertical="center"/>
    </xf>
    <xf numFmtId="0" fontId="20" fillId="0" borderId="0" xfId="0" applyFont="1" applyAlignment="1"/>
    <xf numFmtId="4" fontId="0" fillId="0" borderId="0" xfId="0" applyNumberFormat="1" applyAlignment="1"/>
    <xf numFmtId="164" fontId="5" fillId="0" borderId="1" xfId="3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4" fontId="23" fillId="2" borderId="0" xfId="0" applyNumberFormat="1" applyFont="1" applyFill="1" applyBorder="1" applyAlignment="1">
      <alignment horizontal="center" vertical="center" readingOrder="1"/>
    </xf>
    <xf numFmtId="0" fontId="10" fillId="0" borderId="0" xfId="0" applyFont="1" applyAlignment="1"/>
    <xf numFmtId="164" fontId="0" fillId="0" borderId="0" xfId="0" applyNumberFormat="1" applyAlignment="1"/>
    <xf numFmtId="0" fontId="0" fillId="2" borderId="0" xfId="0" applyFill="1"/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 wrapText="1" readingOrder="1"/>
    </xf>
    <xf numFmtId="164" fontId="8" fillId="2" borderId="0" xfId="0" applyNumberFormat="1" applyFont="1" applyFill="1" applyAlignment="1"/>
    <xf numFmtId="0" fontId="11" fillId="2" borderId="1" xfId="0" applyNumberFormat="1" applyFont="1" applyFill="1" applyBorder="1" applyAlignment="1">
      <alignment horizontal="center" vertical="center" readingOrder="1"/>
    </xf>
    <xf numFmtId="0" fontId="14" fillId="2" borderId="0" xfId="0" applyNumberFormat="1" applyFont="1" applyFill="1" applyBorder="1" applyAlignment="1">
      <alignment horizontal="center" vertical="center" readingOrder="1"/>
    </xf>
    <xf numFmtId="167" fontId="0" fillId="0" borderId="0" xfId="0" applyNumberFormat="1" applyAlignment="1"/>
    <xf numFmtId="1" fontId="0" fillId="0" borderId="0" xfId="0" applyNumberFormat="1" applyAlignment="1"/>
    <xf numFmtId="164" fontId="21" fillId="2" borderId="0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11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Fill="1" applyBorder="1" applyAlignment="1">
      <alignment vertical="top" readingOrder="1"/>
    </xf>
    <xf numFmtId="164" fontId="28" fillId="0" borderId="5" xfId="0" applyNumberFormat="1" applyFont="1" applyFill="1" applyBorder="1" applyAlignment="1">
      <alignment vertical="top"/>
    </xf>
    <xf numFmtId="0" fontId="29" fillId="0" borderId="5" xfId="0" applyNumberFormat="1" applyFont="1" applyFill="1" applyBorder="1" applyAlignment="1">
      <alignment vertical="top"/>
    </xf>
    <xf numFmtId="0" fontId="30" fillId="0" borderId="5" xfId="0" applyNumberFormat="1" applyFont="1" applyFill="1" applyBorder="1" applyAlignment="1">
      <alignment vertical="top"/>
    </xf>
    <xf numFmtId="0" fontId="11" fillId="0" borderId="5" xfId="6" applyNumberFormat="1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vertical="center"/>
    </xf>
    <xf numFmtId="0" fontId="11" fillId="0" borderId="9" xfId="0" applyNumberFormat="1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11" fillId="2" borderId="3" xfId="0" applyNumberFormat="1" applyFont="1" applyFill="1" applyBorder="1" applyAlignment="1">
      <alignment horizontal="center" vertical="center" readingOrder="1"/>
    </xf>
    <xf numFmtId="165" fontId="12" fillId="0" borderId="3" xfId="0" applyNumberFormat="1" applyFont="1" applyFill="1" applyBorder="1" applyAlignment="1">
      <alignment horizontal="center" vertical="center" readingOrder="1"/>
    </xf>
    <xf numFmtId="164" fontId="5" fillId="0" borderId="5" xfId="0" applyNumberFormat="1" applyFont="1" applyFill="1" applyBorder="1" applyAlignment="1">
      <alignment vertical="top"/>
    </xf>
    <xf numFmtId="165" fontId="31" fillId="0" borderId="1" xfId="0" applyNumberFormat="1" applyFont="1" applyFill="1" applyBorder="1" applyAlignment="1">
      <alignment horizontal="center" vertical="top"/>
    </xf>
    <xf numFmtId="165" fontId="12" fillId="0" borderId="1" xfId="6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1" fillId="2" borderId="1" xfId="0" applyNumberFormat="1" applyFont="1" applyFill="1" applyBorder="1" applyAlignment="1">
      <alignment horizontal="center" vertical="center" wrapText="1" readingOrder="1"/>
    </xf>
    <xf numFmtId="4" fontId="9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4" fontId="35" fillId="2" borderId="1" xfId="4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>
      <alignment vertical="center" readingOrder="1"/>
    </xf>
    <xf numFmtId="0" fontId="0" fillId="0" borderId="0" xfId="0" applyBorder="1"/>
    <xf numFmtId="0" fontId="11" fillId="2" borderId="0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 readingOrder="1"/>
    </xf>
    <xf numFmtId="0" fontId="11" fillId="2" borderId="1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left" vertical="center" readingOrder="1"/>
    </xf>
    <xf numFmtId="164" fontId="11" fillId="0" borderId="0" xfId="0" applyNumberFormat="1" applyFont="1" applyFill="1" applyBorder="1" applyAlignment="1">
      <alignment horizontal="center" vertical="center" readingOrder="1"/>
    </xf>
    <xf numFmtId="165" fontId="12" fillId="0" borderId="0" xfId="0" applyNumberFormat="1" applyFont="1" applyFill="1" applyBorder="1" applyAlignment="1">
      <alignment horizontal="center" vertical="center" readingOrder="1"/>
    </xf>
    <xf numFmtId="164" fontId="24" fillId="2" borderId="0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/>
    <xf numFmtId="0" fontId="2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readingOrder="1"/>
    </xf>
    <xf numFmtId="4" fontId="11" fillId="2" borderId="0" xfId="0" applyNumberFormat="1" applyFont="1" applyFill="1" applyBorder="1" applyAlignment="1">
      <alignment horizontal="center" vertical="center" wrapText="1" readingOrder="1"/>
    </xf>
    <xf numFmtId="4" fontId="0" fillId="2" borderId="0" xfId="0" applyNumberFormat="1" applyFill="1" applyAlignment="1"/>
    <xf numFmtId="4" fontId="15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5" fillId="2" borderId="2" xfId="4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33" fillId="0" borderId="1" xfId="0" applyNumberFormat="1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readingOrder="1"/>
    </xf>
    <xf numFmtId="0" fontId="27" fillId="2" borderId="0" xfId="0" applyFont="1" applyFill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0" fillId="2" borderId="0" xfId="0" applyNumberFormat="1" applyFont="1" applyFill="1" applyAlignment="1"/>
    <xf numFmtId="164" fontId="0" fillId="0" borderId="0" xfId="0" applyNumberFormat="1"/>
    <xf numFmtId="0" fontId="11" fillId="2" borderId="3" xfId="0" applyNumberFormat="1" applyFont="1" applyFill="1" applyBorder="1" applyAlignment="1">
      <alignment vertical="center" readingOrder="1"/>
    </xf>
    <xf numFmtId="164" fontId="24" fillId="0" borderId="1" xfId="0" applyNumberFormat="1" applyFont="1" applyFill="1" applyBorder="1" applyAlignment="1">
      <alignment horizontal="center" vertical="center" wrapText="1" readingOrder="1"/>
    </xf>
    <xf numFmtId="164" fontId="8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11" fillId="2" borderId="3" xfId="0" applyNumberFormat="1" applyFont="1" applyFill="1" applyBorder="1" applyAlignment="1">
      <alignment horizontal="center" vertical="center" readingOrder="1"/>
    </xf>
    <xf numFmtId="164" fontId="0" fillId="0" borderId="0" xfId="0" applyNumberFormat="1" applyFont="1" applyFill="1" applyBorder="1" applyAlignment="1">
      <alignment horizontal="center" vertical="center" readingOrder="1"/>
    </xf>
    <xf numFmtId="164" fontId="21" fillId="3" borderId="0" xfId="0" applyNumberFormat="1" applyFont="1" applyFill="1" applyBorder="1" applyAlignment="1">
      <alignment horizontal="center" vertical="center" readingOrder="1"/>
    </xf>
    <xf numFmtId="164" fontId="28" fillId="0" borderId="0" xfId="0" applyNumberFormat="1" applyFont="1" applyFill="1" applyBorder="1" applyAlignment="1">
      <alignment vertical="top"/>
    </xf>
    <xf numFmtId="0" fontId="29" fillId="0" borderId="0" xfId="0" applyNumberFormat="1" applyFont="1" applyFill="1" applyBorder="1" applyAlignment="1">
      <alignment vertical="top"/>
    </xf>
    <xf numFmtId="0" fontId="30" fillId="0" borderId="0" xfId="0" applyNumberFormat="1" applyFont="1" applyFill="1" applyBorder="1" applyAlignment="1">
      <alignment vertical="top"/>
    </xf>
    <xf numFmtId="164" fontId="5" fillId="0" borderId="1" xfId="6" applyNumberFormat="1" applyFont="1" applyFill="1" applyBorder="1" applyAlignment="1">
      <alignment horizontal="center" vertical="center" readingOrder="1"/>
    </xf>
    <xf numFmtId="164" fontId="5" fillId="0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11" fillId="2" borderId="3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readingOrder="1"/>
    </xf>
    <xf numFmtId="0" fontId="39" fillId="0" borderId="0" xfId="0" applyFont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/>
    <xf numFmtId="164" fontId="8" fillId="0" borderId="0" xfId="0" applyNumberFormat="1" applyFont="1" applyFill="1" applyAlignment="1"/>
    <xf numFmtId="0" fontId="0" fillId="0" borderId="0" xfId="0" applyFont="1" applyFill="1" applyAlignment="1"/>
    <xf numFmtId="0" fontId="10" fillId="0" borderId="0" xfId="0" applyFont="1" applyBorder="1" applyAlignment="1"/>
    <xf numFmtId="164" fontId="10" fillId="0" borderId="0" xfId="0" applyNumberFormat="1" applyFont="1" applyBorder="1" applyAlignment="1"/>
    <xf numFmtId="0" fontId="22" fillId="0" borderId="0" xfId="0" applyFont="1" applyBorder="1" applyAlignment="1"/>
    <xf numFmtId="0" fontId="0" fillId="0" borderId="0" xfId="0" applyBorder="1" applyAlignment="1"/>
    <xf numFmtId="166" fontId="0" fillId="0" borderId="0" xfId="0" applyNumberFormat="1" applyFont="1" applyBorder="1" applyAlignment="1"/>
    <xf numFmtId="164" fontId="5" fillId="0" borderId="0" xfId="0" applyNumberFormat="1" applyFont="1" applyFill="1" applyBorder="1" applyAlignment="1">
      <alignment vertical="top" readingOrder="1"/>
    </xf>
    <xf numFmtId="0" fontId="5" fillId="0" borderId="0" xfId="0" applyNumberFormat="1" applyFont="1" applyFill="1" applyBorder="1" applyAlignment="1">
      <alignment vertical="top" readingOrder="1"/>
    </xf>
    <xf numFmtId="0" fontId="0" fillId="0" borderId="0" xfId="0" applyFont="1" applyBorder="1" applyAlignment="1"/>
    <xf numFmtId="4" fontId="24" fillId="0" borderId="3" xfId="0" applyNumberFormat="1" applyFont="1" applyFill="1" applyBorder="1" applyAlignment="1">
      <alignment horizontal="center" vertical="center" wrapText="1" readingOrder="1"/>
    </xf>
    <xf numFmtId="164" fontId="0" fillId="2" borderId="0" xfId="0" applyNumberFormat="1" applyFill="1" applyAlignment="1">
      <alignment horizontal="center" vertical="center"/>
    </xf>
    <xf numFmtId="4" fontId="0" fillId="0" borderId="0" xfId="0" applyNumberFormat="1"/>
    <xf numFmtId="4" fontId="9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164" fontId="38" fillId="0" borderId="12" xfId="0" applyNumberFormat="1" applyFont="1" applyFill="1" applyBorder="1" applyAlignment="1">
      <alignment vertical="top" readingOrder="1"/>
    </xf>
    <xf numFmtId="164" fontId="0" fillId="0" borderId="1" xfId="0" applyNumberFormat="1" applyBorder="1" applyAlignment="1">
      <alignment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2" borderId="1" xfId="0" applyNumberFormat="1" applyFont="1" applyFill="1" applyBorder="1" applyAlignment="1">
      <alignment horizontal="center" vertical="center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 readingOrder="1"/>
    </xf>
    <xf numFmtId="0" fontId="11" fillId="2" borderId="3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4" fontId="27" fillId="0" borderId="3" xfId="0" applyNumberFormat="1" applyFont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5" fillId="0" borderId="5" xfId="0" applyNumberFormat="1" applyFont="1" applyFill="1" applyBorder="1" applyAlignment="1">
      <alignment horizontal="center" vertical="center" readingOrder="1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1" fillId="2" borderId="3" xfId="0" applyNumberFormat="1" applyFont="1" applyFill="1" applyBorder="1" applyAlignment="1">
      <alignment horizontal="center" vertical="center" readingOrder="1"/>
    </xf>
    <xf numFmtId="0" fontId="11" fillId="2" borderId="3" xfId="0" applyNumberFormat="1" applyFont="1" applyFill="1" applyBorder="1" applyAlignment="1">
      <alignment horizontal="left" vertical="center" readingOrder="1"/>
    </xf>
    <xf numFmtId="0" fontId="11" fillId="2" borderId="1" xfId="0" applyNumberFormat="1" applyFont="1" applyFill="1" applyBorder="1" applyAlignment="1">
      <alignment horizontal="left" vertical="center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4" fontId="27" fillId="0" borderId="3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/>
    <xf numFmtId="4" fontId="10" fillId="0" borderId="0" xfId="0" applyNumberFormat="1" applyFont="1" applyBorder="1" applyAlignment="1"/>
    <xf numFmtId="0" fontId="10" fillId="2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168" fontId="40" fillId="0" borderId="0" xfId="4" applyNumberFormat="1" applyFont="1" applyFill="1" applyBorder="1" applyAlignment="1" applyProtection="1">
      <alignment horizontal="center" vertical="center" wrapText="1"/>
    </xf>
    <xf numFmtId="168" fontId="27" fillId="0" borderId="3" xfId="0" applyNumberFormat="1" applyFont="1" applyBorder="1" applyAlignment="1">
      <alignment horizontal="center" vertical="center"/>
    </xf>
    <xf numFmtId="168" fontId="0" fillId="0" borderId="0" xfId="0" applyNumberFormat="1" applyBorder="1"/>
    <xf numFmtId="0" fontId="10" fillId="0" borderId="0" xfId="0" applyFont="1" applyFill="1" applyBorder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 readingOrder="1"/>
    </xf>
    <xf numFmtId="0" fontId="11" fillId="2" borderId="1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readingOrder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0" fillId="2" borderId="3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164" fontId="8" fillId="0" borderId="0" xfId="0" applyNumberFormat="1" applyFont="1" applyAlignment="1"/>
    <xf numFmtId="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32" fillId="0" borderId="1" xfId="0" applyFont="1" applyFill="1" applyBorder="1" applyAlignment="1">
      <alignment horizontal="left" vertical="center"/>
    </xf>
    <xf numFmtId="4" fontId="35" fillId="2" borderId="1" xfId="4" applyNumberFormat="1" applyFont="1" applyFill="1" applyBorder="1" applyAlignment="1" applyProtection="1">
      <alignment horizontal="center" vertical="center"/>
    </xf>
    <xf numFmtId="168" fontId="40" fillId="0" borderId="0" xfId="4" applyNumberFormat="1" applyFont="1" applyFill="1" applyBorder="1" applyAlignment="1" applyProtection="1">
      <alignment horizontal="center" vertical="center"/>
    </xf>
    <xf numFmtId="4" fontId="35" fillId="2" borderId="2" xfId="4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horizontal="center" vertical="center" readingOrder="1"/>
    </xf>
    <xf numFmtId="4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4" fontId="27" fillId="2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readingOrder="1"/>
    </xf>
    <xf numFmtId="4" fontId="11" fillId="2" borderId="1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2" borderId="1" xfId="0" applyNumberFormat="1" applyFont="1" applyFill="1" applyBorder="1" applyAlignment="1">
      <alignment horizontal="left" vertical="center" readingOrder="1"/>
    </xf>
    <xf numFmtId="0" fontId="11" fillId="2" borderId="1" xfId="0" applyNumberFormat="1" applyFont="1" applyFill="1" applyBorder="1" applyAlignment="1">
      <alignment horizontal="center" vertical="center" readingOrder="1"/>
    </xf>
    <xf numFmtId="4" fontId="11" fillId="0" borderId="1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/>
    <xf numFmtId="164" fontId="0" fillId="2" borderId="0" xfId="0" applyNumberFormat="1" applyFill="1" applyAlignment="1"/>
    <xf numFmtId="0" fontId="0" fillId="2" borderId="0" xfId="0" applyFill="1" applyAlignment="1"/>
    <xf numFmtId="164" fontId="11" fillId="2" borderId="3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2" borderId="1" xfId="0" applyNumberFormat="1" applyFont="1" applyFill="1" applyBorder="1" applyAlignment="1">
      <alignment vertical="center" readingOrder="1"/>
    </xf>
    <xf numFmtId="4" fontId="27" fillId="0" borderId="0" xfId="0" applyNumberFormat="1" applyFont="1" applyBorder="1" applyAlignment="1">
      <alignment horizontal="center" vertical="center"/>
    </xf>
    <xf numFmtId="2" fontId="0" fillId="0" borderId="0" xfId="0" applyNumberFormat="1" applyAlignme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 wrapText="1" readingOrder="1"/>
    </xf>
    <xf numFmtId="164" fontId="24" fillId="0" borderId="4" xfId="0" applyNumberFormat="1" applyFont="1" applyFill="1" applyBorder="1" applyAlignment="1">
      <alignment horizontal="center" vertical="center" wrapText="1" readingOrder="1"/>
    </xf>
    <xf numFmtId="164" fontId="24" fillId="0" borderId="2" xfId="0" applyNumberFormat="1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readingOrder="1"/>
    </xf>
    <xf numFmtId="4" fontId="11" fillId="2" borderId="4" xfId="0" applyNumberFormat="1" applyFont="1" applyFill="1" applyBorder="1" applyAlignment="1">
      <alignment horizontal="center" vertical="center" readingOrder="1"/>
    </xf>
    <xf numFmtId="4" fontId="11" fillId="2" borderId="2" xfId="0" applyNumberFormat="1" applyFont="1" applyFill="1" applyBorder="1" applyAlignment="1">
      <alignment horizontal="center" vertical="center" readingOrder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readingOrder="1"/>
    </xf>
    <xf numFmtId="0" fontId="11" fillId="2" borderId="4" xfId="0" applyNumberFormat="1" applyFont="1" applyFill="1" applyBorder="1" applyAlignment="1">
      <alignment horizontal="center" vertical="center" readingOrder="1"/>
    </xf>
    <xf numFmtId="0" fontId="11" fillId="2" borderId="2" xfId="0" applyNumberFormat="1" applyFont="1" applyFill="1" applyBorder="1" applyAlignment="1">
      <alignment horizontal="center" vertical="center" readingOrder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 readingOrder="1"/>
    </xf>
    <xf numFmtId="164" fontId="11" fillId="2" borderId="4" xfId="0" applyNumberFormat="1" applyFont="1" applyFill="1" applyBorder="1" applyAlignment="1">
      <alignment horizontal="center" vertical="center" readingOrder="1"/>
    </xf>
    <xf numFmtId="0" fontId="11" fillId="2" borderId="6" xfId="0" applyNumberFormat="1" applyFont="1" applyFill="1" applyBorder="1" applyAlignment="1">
      <alignment horizontal="left" vertical="center" readingOrder="1"/>
    </xf>
    <xf numFmtId="0" fontId="11" fillId="2" borderId="8" xfId="0" applyNumberFormat="1" applyFont="1" applyFill="1" applyBorder="1" applyAlignment="1">
      <alignment horizontal="left" vertical="center" readingOrder="1"/>
    </xf>
    <xf numFmtId="0" fontId="11" fillId="2" borderId="3" xfId="0" applyNumberFormat="1" applyFont="1" applyFill="1" applyBorder="1" applyAlignment="1">
      <alignment horizontal="center" vertical="center" wrapText="1" readingOrder="1"/>
    </xf>
    <xf numFmtId="0" fontId="11" fillId="2" borderId="4" xfId="0" applyNumberFormat="1" applyFont="1" applyFill="1" applyBorder="1" applyAlignment="1">
      <alignment horizontal="center" vertical="center" wrapText="1" readingOrder="1"/>
    </xf>
    <xf numFmtId="0" fontId="11" fillId="2" borderId="6" xfId="0" applyNumberFormat="1" applyFont="1" applyFill="1" applyBorder="1" applyAlignment="1">
      <alignment horizontal="center" vertical="center" readingOrder="1"/>
    </xf>
    <xf numFmtId="0" fontId="11" fillId="2" borderId="8" xfId="0" applyNumberFormat="1" applyFont="1" applyFill="1" applyBorder="1" applyAlignment="1">
      <alignment horizontal="center" vertical="center" readingOrder="1"/>
    </xf>
    <xf numFmtId="4" fontId="11" fillId="2" borderId="6" xfId="0" applyNumberFormat="1" applyFont="1" applyFill="1" applyBorder="1" applyAlignment="1">
      <alignment horizontal="center" vertical="center" readingOrder="1"/>
    </xf>
    <xf numFmtId="4" fontId="11" fillId="2" borderId="8" xfId="0" applyNumberFormat="1" applyFont="1" applyFill="1" applyBorder="1" applyAlignment="1">
      <alignment horizontal="center" vertical="center" readingOrder="1"/>
    </xf>
    <xf numFmtId="0" fontId="11" fillId="0" borderId="6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left" vertical="center"/>
    </xf>
    <xf numFmtId="164" fontId="11" fillId="2" borderId="3" xfId="3" applyNumberFormat="1" applyFont="1" applyFill="1" applyBorder="1" applyAlignment="1">
      <alignment horizontal="center" vertical="center"/>
    </xf>
    <xf numFmtId="164" fontId="11" fillId="2" borderId="2" xfId="3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readingOrder="1"/>
    </xf>
    <xf numFmtId="168" fontId="11" fillId="2" borderId="3" xfId="0" applyNumberFormat="1" applyFont="1" applyFill="1" applyBorder="1" applyAlignment="1">
      <alignment horizontal="center" vertical="center" readingOrder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64" fontId="11" fillId="2" borderId="1" xfId="3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left" vertical="center" readingOrder="1"/>
    </xf>
    <xf numFmtId="0" fontId="11" fillId="2" borderId="4" xfId="0" applyNumberFormat="1" applyFont="1" applyFill="1" applyBorder="1" applyAlignment="1">
      <alignment horizontal="left" vertical="center" readingOrder="1"/>
    </xf>
    <xf numFmtId="0" fontId="11" fillId="2" borderId="2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center"/>
    </xf>
    <xf numFmtId="0" fontId="11" fillId="0" borderId="3" xfId="0" applyNumberFormat="1" applyFont="1" applyFill="1" applyBorder="1" applyAlignment="1">
      <alignment horizontal="center" vertical="center" readingOrder="1"/>
    </xf>
    <xf numFmtId="0" fontId="11" fillId="0" borderId="4" xfId="0" applyNumberFormat="1" applyFont="1" applyFill="1" applyBorder="1" applyAlignment="1">
      <alignment horizontal="center" vertical="center" readingOrder="1"/>
    </xf>
    <xf numFmtId="0" fontId="11" fillId="0" borderId="2" xfId="0" applyNumberFormat="1" applyFont="1" applyFill="1" applyBorder="1" applyAlignment="1">
      <alignment horizontal="center" vertical="center" readingOrder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0" borderId="3" xfId="6" applyNumberFormat="1" applyFont="1" applyFill="1" applyBorder="1" applyAlignment="1">
      <alignment horizontal="center" vertical="center" readingOrder="1"/>
    </xf>
    <xf numFmtId="0" fontId="11" fillId="0" borderId="4" xfId="6" applyNumberFormat="1" applyFont="1" applyFill="1" applyBorder="1" applyAlignment="1">
      <alignment horizontal="center" vertical="center" readingOrder="1"/>
    </xf>
    <xf numFmtId="0" fontId="11" fillId="0" borderId="2" xfId="6" applyNumberFormat="1" applyFont="1" applyFill="1" applyBorder="1" applyAlignment="1">
      <alignment horizontal="center" vertical="center" readingOrder="1"/>
    </xf>
    <xf numFmtId="0" fontId="11" fillId="0" borderId="6" xfId="6" applyNumberFormat="1" applyFont="1" applyFill="1" applyBorder="1" applyAlignment="1">
      <alignment horizontal="center" vertical="center" wrapText="1" readingOrder="1"/>
    </xf>
    <xf numFmtId="0" fontId="11" fillId="0" borderId="8" xfId="6" applyNumberFormat="1" applyFont="1" applyFill="1" applyBorder="1" applyAlignment="1">
      <alignment horizontal="center" vertical="center" wrapText="1" readingOrder="1"/>
    </xf>
    <xf numFmtId="0" fontId="11" fillId="0" borderId="7" xfId="6" applyNumberFormat="1" applyFont="1" applyFill="1" applyBorder="1" applyAlignment="1">
      <alignment horizontal="center" vertical="center" wrapText="1" readingOrder="1"/>
    </xf>
    <xf numFmtId="164" fontId="11" fillId="0" borderId="3" xfId="0" applyNumberFormat="1" applyFont="1" applyFill="1" applyBorder="1" applyAlignment="1">
      <alignment horizontal="center" vertical="center" readingOrder="1"/>
    </xf>
    <xf numFmtId="164" fontId="11" fillId="0" borderId="4" xfId="0" applyNumberFormat="1" applyFont="1" applyFill="1" applyBorder="1" applyAlignment="1">
      <alignment horizontal="center" vertical="center" readingOrder="1"/>
    </xf>
    <xf numFmtId="164" fontId="11" fillId="0" borderId="2" xfId="0" applyNumberFormat="1" applyFont="1" applyFill="1" applyBorder="1" applyAlignment="1">
      <alignment horizontal="center" vertical="center" readingOrder="1"/>
    </xf>
    <xf numFmtId="164" fontId="11" fillId="2" borderId="1" xfId="0" applyNumberFormat="1" applyFont="1" applyFill="1" applyBorder="1" applyAlignment="1">
      <alignment horizontal="center" vertical="center" readingOrder="1"/>
    </xf>
    <xf numFmtId="0" fontId="11" fillId="2" borderId="2" xfId="0" applyNumberFormat="1" applyFont="1" applyFill="1" applyBorder="1" applyAlignment="1">
      <alignment horizontal="center" vertical="center" wrapText="1" readingOrder="1"/>
    </xf>
    <xf numFmtId="0" fontId="11" fillId="0" borderId="3" xfId="6" applyNumberFormat="1" applyFont="1" applyFill="1" applyBorder="1" applyAlignment="1">
      <alignment horizontal="left" vertical="center" readingOrder="1"/>
    </xf>
    <xf numFmtId="0" fontId="11" fillId="0" borderId="4" xfId="6" applyNumberFormat="1" applyFont="1" applyFill="1" applyBorder="1" applyAlignment="1">
      <alignment horizontal="left" vertical="center" readingOrder="1"/>
    </xf>
    <xf numFmtId="0" fontId="11" fillId="0" borderId="1" xfId="0" applyNumberFormat="1" applyFont="1" applyFill="1" applyBorder="1" applyAlignment="1">
      <alignment horizontal="center" vertical="center" readingOrder="1"/>
    </xf>
    <xf numFmtId="164" fontId="11" fillId="2" borderId="2" xfId="0" applyNumberFormat="1" applyFont="1" applyFill="1" applyBorder="1" applyAlignment="1">
      <alignment horizontal="center" vertical="center" readingOrder="1"/>
    </xf>
    <xf numFmtId="0" fontId="11" fillId="0" borderId="6" xfId="6" applyNumberFormat="1" applyFont="1" applyFill="1" applyBorder="1" applyAlignment="1">
      <alignment horizontal="left" vertical="center" readingOrder="1"/>
    </xf>
    <xf numFmtId="0" fontId="11" fillId="0" borderId="8" xfId="6" applyNumberFormat="1" applyFont="1" applyFill="1" applyBorder="1" applyAlignment="1">
      <alignment horizontal="left" vertical="center" readingOrder="1"/>
    </xf>
    <xf numFmtId="0" fontId="11" fillId="0" borderId="7" xfId="6" applyNumberFormat="1" applyFont="1" applyFill="1" applyBorder="1" applyAlignment="1">
      <alignment horizontal="left" vertical="center" readingOrder="1"/>
    </xf>
    <xf numFmtId="0" fontId="11" fillId="0" borderId="3" xfId="6" applyNumberFormat="1" applyFont="1" applyFill="1" applyBorder="1" applyAlignment="1">
      <alignment horizontal="center" vertical="center" wrapText="1" readingOrder="1"/>
    </xf>
    <xf numFmtId="0" fontId="11" fillId="0" borderId="4" xfId="6" applyNumberFormat="1" applyFont="1" applyFill="1" applyBorder="1" applyAlignment="1">
      <alignment horizontal="center" vertical="center" wrapText="1" readingOrder="1"/>
    </xf>
    <xf numFmtId="0" fontId="11" fillId="0" borderId="2" xfId="6" applyNumberFormat="1" applyFont="1" applyFill="1" applyBorder="1" applyAlignment="1">
      <alignment horizontal="center" vertical="center" wrapText="1" readingOrder="1"/>
    </xf>
    <xf numFmtId="0" fontId="36" fillId="0" borderId="1" xfId="4" applyFont="1" applyFill="1" applyBorder="1" applyAlignment="1">
      <alignment horizontal="center" vertical="center"/>
    </xf>
    <xf numFmtId="0" fontId="36" fillId="0" borderId="11" xfId="4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6" applyNumberFormat="1" applyFont="1" applyFill="1" applyBorder="1" applyAlignment="1">
      <alignment horizontal="center" vertical="center" readingOrder="1"/>
    </xf>
    <xf numFmtId="0" fontId="11" fillId="0" borderId="6" xfId="6" applyNumberFormat="1" applyFont="1" applyFill="1" applyBorder="1" applyAlignment="1">
      <alignment horizontal="center" vertical="center" readingOrder="1"/>
    </xf>
    <xf numFmtId="0" fontId="11" fillId="0" borderId="8" xfId="6" applyNumberFormat="1" applyFont="1" applyFill="1" applyBorder="1" applyAlignment="1">
      <alignment horizontal="center" vertical="center" readingOrder="1"/>
    </xf>
    <xf numFmtId="0" fontId="11" fillId="0" borderId="7" xfId="6" applyNumberFormat="1" applyFont="1" applyFill="1" applyBorder="1" applyAlignment="1">
      <alignment horizontal="center" vertical="center" readingOrder="1"/>
    </xf>
    <xf numFmtId="0" fontId="16" fillId="0" borderId="0" xfId="0" applyFont="1" applyAlignment="1">
      <alignment horizontal="center" vertical="center"/>
    </xf>
    <xf numFmtId="0" fontId="11" fillId="0" borderId="3" xfId="0" applyNumberFormat="1" applyFont="1" applyFill="1" applyBorder="1" applyAlignment="1">
      <alignment horizontal="left" vertical="center" readingOrder="1"/>
    </xf>
    <xf numFmtId="0" fontId="11" fillId="0" borderId="4" xfId="0" applyNumberFormat="1" applyFont="1" applyFill="1" applyBorder="1" applyAlignment="1">
      <alignment horizontal="left" vertical="center" readingOrder="1"/>
    </xf>
    <xf numFmtId="0" fontId="11" fillId="0" borderId="2" xfId="0" applyNumberFormat="1" applyFont="1" applyFill="1" applyBorder="1" applyAlignment="1">
      <alignment horizontal="left" vertical="center" readingOrder="1"/>
    </xf>
    <xf numFmtId="164" fontId="11" fillId="0" borderId="3" xfId="0" applyNumberFormat="1" applyFont="1" applyFill="1" applyBorder="1" applyAlignment="1">
      <alignment horizontal="center" vertical="center" wrapText="1" readingOrder="1"/>
    </xf>
    <xf numFmtId="164" fontId="11" fillId="0" borderId="4" xfId="0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Fill="1" applyBorder="1" applyAlignment="1">
      <alignment horizontal="center" vertical="center" wrapText="1" readingOrder="1"/>
    </xf>
    <xf numFmtId="0" fontId="11" fillId="0" borderId="4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164" fontId="11" fillId="0" borderId="3" xfId="3" applyNumberFormat="1" applyFont="1" applyFill="1" applyBorder="1" applyAlignment="1">
      <alignment horizontal="center" vertical="center"/>
    </xf>
    <xf numFmtId="164" fontId="11" fillId="0" borderId="2" xfId="3" applyNumberFormat="1" applyFont="1" applyFill="1" applyBorder="1" applyAlignment="1">
      <alignment horizontal="center" vertical="center"/>
    </xf>
    <xf numFmtId="0" fontId="11" fillId="0" borderId="1" xfId="6" applyNumberFormat="1" applyFont="1" applyFill="1" applyBorder="1" applyAlignment="1">
      <alignment horizontal="left" vertical="center" readingOrder="1"/>
    </xf>
    <xf numFmtId="0" fontId="11" fillId="0" borderId="1" xfId="0" applyNumberFormat="1" applyFont="1" applyFill="1" applyBorder="1" applyAlignment="1">
      <alignment horizontal="left" vertical="center" readingOrder="1"/>
    </xf>
    <xf numFmtId="0" fontId="11" fillId="0" borderId="2" xfId="6" applyNumberFormat="1" applyFont="1" applyFill="1" applyBorder="1" applyAlignment="1">
      <alignment horizontal="left" vertical="center" readingOrder="1"/>
    </xf>
    <xf numFmtId="164" fontId="11" fillId="2" borderId="3" xfId="0" applyNumberFormat="1" applyFont="1" applyFill="1" applyBorder="1" applyAlignment="1">
      <alignment horizontal="center" vertical="center" wrapText="1" readingOrder="1"/>
    </xf>
    <xf numFmtId="164" fontId="11" fillId="2" borderId="4" xfId="0" applyNumberFormat="1" applyFont="1" applyFill="1" applyBorder="1" applyAlignment="1">
      <alignment horizontal="center" vertical="center" wrapText="1" readingOrder="1"/>
    </xf>
    <xf numFmtId="164" fontId="11" fillId="2" borderId="2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27" fillId="2" borderId="3" xfId="0" applyNumberFormat="1" applyFont="1" applyFill="1" applyBorder="1" applyAlignment="1">
      <alignment horizontal="center" vertical="center"/>
    </xf>
    <xf numFmtId="4" fontId="27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 readingOrder="1"/>
    </xf>
    <xf numFmtId="168" fontId="27" fillId="2" borderId="3" xfId="0" applyNumberFormat="1" applyFont="1" applyFill="1" applyBorder="1" applyAlignment="1">
      <alignment horizontal="center" vertical="center"/>
    </xf>
    <xf numFmtId="168" fontId="27" fillId="2" borderId="4" xfId="0" applyNumberFormat="1" applyFont="1" applyFill="1" applyBorder="1" applyAlignment="1">
      <alignment horizontal="center" vertical="center"/>
    </xf>
    <xf numFmtId="168" fontId="27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readingOrder="1"/>
    </xf>
    <xf numFmtId="0" fontId="17" fillId="0" borderId="0" xfId="0" applyFont="1" applyAlignment="1">
      <alignment horizontal="center" vertical="center" wrapText="1"/>
    </xf>
    <xf numFmtId="4" fontId="27" fillId="2" borderId="4" xfId="0" applyNumberFormat="1" applyFont="1" applyFill="1" applyBorder="1" applyAlignment="1">
      <alignment horizontal="center" vertical="center"/>
    </xf>
    <xf numFmtId="168" fontId="27" fillId="0" borderId="3" xfId="0" applyNumberFormat="1" applyFont="1" applyBorder="1" applyAlignment="1">
      <alignment horizontal="center" vertical="center"/>
    </xf>
    <xf numFmtId="168" fontId="27" fillId="0" borderId="4" xfId="0" applyNumberFormat="1" applyFont="1" applyBorder="1" applyAlignment="1">
      <alignment horizontal="center" vertical="center"/>
    </xf>
    <xf numFmtId="168" fontId="27" fillId="0" borderId="2" xfId="0" applyNumberFormat="1" applyFont="1" applyBorder="1" applyAlignment="1">
      <alignment horizontal="center" vertical="center"/>
    </xf>
    <xf numFmtId="168" fontId="10" fillId="2" borderId="3" xfId="0" applyNumberFormat="1" applyFont="1" applyFill="1" applyBorder="1" applyAlignment="1">
      <alignment horizontal="center" vertical="center"/>
    </xf>
    <xf numFmtId="168" fontId="10" fillId="2" borderId="4" xfId="0" applyNumberFormat="1" applyFont="1" applyFill="1" applyBorder="1" applyAlignment="1">
      <alignment horizontal="center" vertical="center"/>
    </xf>
    <xf numFmtId="168" fontId="10" fillId="2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readingOrder="1"/>
    </xf>
    <xf numFmtId="164" fontId="5" fillId="0" borderId="4" xfId="0" applyNumberFormat="1" applyFont="1" applyFill="1" applyBorder="1" applyAlignment="1">
      <alignment horizontal="center" vertical="center" readingOrder="1"/>
    </xf>
    <xf numFmtId="164" fontId="5" fillId="0" borderId="2" xfId="0" applyNumberFormat="1" applyFont="1" applyFill="1" applyBorder="1" applyAlignment="1">
      <alignment horizontal="center" vertical="center" readingOrder="1"/>
    </xf>
    <xf numFmtId="164" fontId="5" fillId="0" borderId="13" xfId="0" applyNumberFormat="1" applyFont="1" applyFill="1" applyBorder="1" applyAlignment="1">
      <alignment horizontal="center" vertical="center" readingOrder="1"/>
    </xf>
  </cellXfs>
  <cellStyles count="10">
    <cellStyle name="Normal" xfId="0" builtinId="0"/>
    <cellStyle name="Normal 2" xfId="6"/>
    <cellStyle name="Normal 2 2" xfId="8"/>
    <cellStyle name="Normal 3" xfId="1"/>
    <cellStyle name="Normal 3 2" xfId="7"/>
    <cellStyle name="Normal 4" xfId="2"/>
    <cellStyle name="Normal 5" xfId="3"/>
    <cellStyle name="Normal 6" xfId="5"/>
    <cellStyle name="Normal 7" xfId="9"/>
    <cellStyle name="Normal_cxrili 30.12.2008 BOLOOOOO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tenders.procurement.gov.ge/public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1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2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2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2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2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190500</xdr:rowOff>
    </xdr:to>
    <xdr:sp macro="" textlink="">
      <xdr:nvSpPr>
        <xdr:cNvPr id="2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12</xdr:row>
      <xdr:rowOff>76200</xdr:rowOff>
    </xdr:to>
    <xdr:sp macro="" textlink="">
      <xdr:nvSpPr>
        <xdr:cNvPr id="2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11</xdr:row>
      <xdr:rowOff>219075</xdr:rowOff>
    </xdr:to>
    <xdr:sp macro="" textlink="">
      <xdr:nvSpPr>
        <xdr:cNvPr id="2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11</xdr:row>
      <xdr:rowOff>76200</xdr:rowOff>
    </xdr:to>
    <xdr:sp macro="" textlink="">
      <xdr:nvSpPr>
        <xdr:cNvPr id="2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11</xdr:row>
      <xdr:rowOff>76200</xdr:rowOff>
    </xdr:to>
    <xdr:sp macro="" textlink="">
      <xdr:nvSpPr>
        <xdr:cNvPr id="2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2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3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11</xdr:row>
      <xdr:rowOff>28575</xdr:rowOff>
    </xdr:to>
    <xdr:sp macro="" textlink="">
      <xdr:nvSpPr>
        <xdr:cNvPr id="3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3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3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3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3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3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190500"/>
    <xdr:sp macro="" textlink="">
      <xdr:nvSpPr>
        <xdr:cNvPr id="3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61436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3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3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4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4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4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4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4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4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4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4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4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4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5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5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5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5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5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161925"/>
    <xdr:sp macro="" textlink="">
      <xdr:nvSpPr>
        <xdr:cNvPr id="6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6</xdr:row>
      <xdr:rowOff>0</xdr:rowOff>
    </xdr:from>
    <xdr:ext cx="304800" cy="47625"/>
    <xdr:sp macro="" textlink="">
      <xdr:nvSpPr>
        <xdr:cNvPr id="6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61436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43150" y="3209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43150" y="3209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6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6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6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6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6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6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7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7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7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7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7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7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7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7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7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7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8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8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8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8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8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8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876425"/>
    <xdr:sp macro="" textlink="">
      <xdr:nvSpPr>
        <xdr:cNvPr id="8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6</xdr:row>
      <xdr:rowOff>0</xdr:rowOff>
    </xdr:from>
    <xdr:ext cx="304800" cy="1762125"/>
    <xdr:sp macro="" textlink="">
      <xdr:nvSpPr>
        <xdr:cNvPr id="8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76625" y="2619375"/>
          <a:ext cx="3048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8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8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9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9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9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9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9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9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9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9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9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9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10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10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10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10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0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161925"/>
    <xdr:sp macro="" textlink="">
      <xdr:nvSpPr>
        <xdr:cNvPr id="11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7</xdr:row>
      <xdr:rowOff>0</xdr:rowOff>
    </xdr:from>
    <xdr:ext cx="304800" cy="47625"/>
    <xdr:sp macro="" textlink="">
      <xdr:nvSpPr>
        <xdr:cNvPr id="1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905750" y="2800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190500"/>
    <xdr:sp macro="" textlink="">
      <xdr:nvSpPr>
        <xdr:cNvPr id="11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190500"/>
    <xdr:sp macro="" textlink="">
      <xdr:nvSpPr>
        <xdr:cNvPr id="1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190500"/>
    <xdr:sp macro="" textlink="">
      <xdr:nvSpPr>
        <xdr:cNvPr id="1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190500"/>
    <xdr:sp macro="" textlink="">
      <xdr:nvSpPr>
        <xdr:cNvPr id="1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1000125"/>
    <xdr:sp macro="" textlink="">
      <xdr:nvSpPr>
        <xdr:cNvPr id="11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809625"/>
    <xdr:sp macro="" textlink="">
      <xdr:nvSpPr>
        <xdr:cNvPr id="1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1143000"/>
    <xdr:sp macro="" textlink="">
      <xdr:nvSpPr>
        <xdr:cNvPr id="1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1143000"/>
    <xdr:sp macro="" textlink="">
      <xdr:nvSpPr>
        <xdr:cNvPr id="1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1143000"/>
    <xdr:sp macro="" textlink="">
      <xdr:nvSpPr>
        <xdr:cNvPr id="12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1143000"/>
    <xdr:sp macro="" textlink="">
      <xdr:nvSpPr>
        <xdr:cNvPr id="12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809625"/>
    <xdr:sp macro="" textlink="">
      <xdr:nvSpPr>
        <xdr:cNvPr id="12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39719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1000125"/>
    <xdr:sp macro="" textlink="">
      <xdr:nvSpPr>
        <xdr:cNvPr id="12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809625"/>
    <xdr:sp macro="" textlink="">
      <xdr:nvSpPr>
        <xdr:cNvPr id="12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1143000"/>
    <xdr:sp macro="" textlink="">
      <xdr:nvSpPr>
        <xdr:cNvPr id="12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1143000"/>
    <xdr:sp macro="" textlink="">
      <xdr:nvSpPr>
        <xdr:cNvPr id="12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1143000"/>
    <xdr:sp macro="" textlink="">
      <xdr:nvSpPr>
        <xdr:cNvPr id="12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1143000"/>
    <xdr:sp macro="" textlink="">
      <xdr:nvSpPr>
        <xdr:cNvPr id="13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00225" y="8724900"/>
          <a:ext cx="3048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1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2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2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2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2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161925</xdr:rowOff>
    </xdr:to>
    <xdr:sp macro="" textlink="">
      <xdr:nvSpPr>
        <xdr:cNvPr id="2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304800</xdr:colOff>
      <xdr:row>34</xdr:row>
      <xdr:rowOff>47625</xdr:rowOff>
    </xdr:to>
    <xdr:sp macro="" textlink="">
      <xdr:nvSpPr>
        <xdr:cNvPr id="2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47625</xdr:rowOff>
    </xdr:to>
    <xdr:sp macro="" textlink="">
      <xdr:nvSpPr>
        <xdr:cNvPr id="2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1164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295275</xdr:rowOff>
    </xdr:to>
    <xdr:sp macro="" textlink="">
      <xdr:nvSpPr>
        <xdr:cNvPr id="2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9259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295275</xdr:rowOff>
    </xdr:to>
    <xdr:sp macro="" textlink="">
      <xdr:nvSpPr>
        <xdr:cNvPr id="2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9259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295275</xdr:rowOff>
    </xdr:to>
    <xdr:sp macro="" textlink="">
      <xdr:nvSpPr>
        <xdr:cNvPr id="2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02120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295275</xdr:rowOff>
    </xdr:to>
    <xdr:sp macro="" textlink="">
      <xdr:nvSpPr>
        <xdr:cNvPr id="3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02120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1164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1164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1164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36</xdr:row>
      <xdr:rowOff>104775</xdr:rowOff>
    </xdr:to>
    <xdr:sp macro="" textlink="">
      <xdr:nvSpPr>
        <xdr:cNvPr id="3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11645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34</xdr:row>
      <xdr:rowOff>0</xdr:rowOff>
    </xdr:from>
    <xdr:ext cx="304800" cy="190500"/>
    <xdr:sp macro="" textlink="">
      <xdr:nvSpPr>
        <xdr:cNvPr id="3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02120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190500"/>
    <xdr:sp macro="" textlink="">
      <xdr:nvSpPr>
        <xdr:cNvPr id="3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202120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3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3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39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3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4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4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4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47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4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1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5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5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5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55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161925"/>
    <xdr:sp macro="" textlink="">
      <xdr:nvSpPr>
        <xdr:cNvPr id="59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47625"/>
    <xdr:sp macro="" textlink="">
      <xdr:nvSpPr>
        <xdr:cNvPr id="6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77355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47625"/>
    <xdr:sp macro="" textlink="">
      <xdr:nvSpPr>
        <xdr:cNvPr id="6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257925" y="73437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47625"/>
    <xdr:sp macro="" textlink="">
      <xdr:nvSpPr>
        <xdr:cNvPr id="6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382000" y="358140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6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6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65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6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6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6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69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3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7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7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7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77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7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8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81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8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8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8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161925"/>
    <xdr:sp macro="" textlink="">
      <xdr:nvSpPr>
        <xdr:cNvPr id="85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58</xdr:row>
      <xdr:rowOff>0</xdr:rowOff>
    </xdr:from>
    <xdr:ext cx="304800" cy="47625"/>
    <xdr:sp macro="" textlink="">
      <xdr:nvSpPr>
        <xdr:cNvPr id="8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6394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8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8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89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3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9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9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9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97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9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1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10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10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10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105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161925"/>
    <xdr:sp macro="" textlink="">
      <xdr:nvSpPr>
        <xdr:cNvPr id="109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58</xdr:row>
      <xdr:rowOff>0</xdr:rowOff>
    </xdr:from>
    <xdr:ext cx="304800" cy="47625"/>
    <xdr:sp macro="" textlink="">
      <xdr:nvSpPr>
        <xdr:cNvPr id="11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73525" y="5619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190500"/>
    <xdr:sp macro="" textlink="">
      <xdr:nvSpPr>
        <xdr:cNvPr id="1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2960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190500"/>
    <xdr:sp macro="" textlink="">
      <xdr:nvSpPr>
        <xdr:cNvPr id="11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29602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47625"/>
    <xdr:sp macro="" textlink="">
      <xdr:nvSpPr>
        <xdr:cNvPr id="1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8675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952500"/>
    <xdr:sp macro="" textlink="">
      <xdr:nvSpPr>
        <xdr:cNvPr id="1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296025"/>
          <a:ext cx="304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952500"/>
    <xdr:sp macro="" textlink="">
      <xdr:nvSpPr>
        <xdr:cNvPr id="1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296025"/>
          <a:ext cx="304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762000"/>
    <xdr:sp macro="" textlink="">
      <xdr:nvSpPr>
        <xdr:cNvPr id="11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867525"/>
          <a:ext cx="304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762000"/>
    <xdr:sp macro="" textlink="">
      <xdr:nvSpPr>
        <xdr:cNvPr id="1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867525"/>
          <a:ext cx="304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762000"/>
    <xdr:sp macro="" textlink="">
      <xdr:nvSpPr>
        <xdr:cNvPr id="1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867525"/>
          <a:ext cx="304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762000"/>
    <xdr:sp macro="" textlink="">
      <xdr:nvSpPr>
        <xdr:cNvPr id="1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6867525"/>
          <a:ext cx="304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47625"/>
    <xdr:sp macro="" textlink="">
      <xdr:nvSpPr>
        <xdr:cNvPr id="12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70580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47625"/>
    <xdr:sp macro="" textlink="">
      <xdr:nvSpPr>
        <xdr:cNvPr id="12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067800" y="742950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2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2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2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2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2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2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2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2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3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3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3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3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3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4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4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4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4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161925"/>
    <xdr:sp macro="" textlink="">
      <xdr:nvSpPr>
        <xdr:cNvPr id="14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34</xdr:row>
      <xdr:rowOff>0</xdr:rowOff>
    </xdr:from>
    <xdr:ext cx="304800" cy="47625"/>
    <xdr:sp macro="" textlink="">
      <xdr:nvSpPr>
        <xdr:cNvPr id="14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4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4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4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4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5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5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5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5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5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6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6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6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6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6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6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6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6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161925"/>
    <xdr:sp macro="" textlink="">
      <xdr:nvSpPr>
        <xdr:cNvPr id="16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34</xdr:row>
      <xdr:rowOff>0</xdr:rowOff>
    </xdr:from>
    <xdr:ext cx="304800" cy="47625"/>
    <xdr:sp macro="" textlink="">
      <xdr:nvSpPr>
        <xdr:cNvPr id="16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7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7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7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7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7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8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8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8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8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8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8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8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8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8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8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9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9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161925"/>
    <xdr:sp macro="" textlink="">
      <xdr:nvSpPr>
        <xdr:cNvPr id="19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34</xdr:row>
      <xdr:rowOff>0</xdr:rowOff>
    </xdr:from>
    <xdr:ext cx="304800" cy="47625"/>
    <xdr:sp macro="" textlink="">
      <xdr:nvSpPr>
        <xdr:cNvPr id="19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29950" y="48577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19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19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19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19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19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19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0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0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0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0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0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0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0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0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0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0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1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1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161925"/>
    <xdr:sp macro="" textlink="">
      <xdr:nvSpPr>
        <xdr:cNvPr id="21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58</xdr:row>
      <xdr:rowOff>0</xdr:rowOff>
    </xdr:from>
    <xdr:ext cx="304800" cy="47625"/>
    <xdr:sp macro="" textlink="">
      <xdr:nvSpPr>
        <xdr:cNvPr id="2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895850" y="129349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952500"/>
    <xdr:sp macro="" textlink="">
      <xdr:nvSpPr>
        <xdr:cNvPr id="2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190750" y="18421350"/>
          <a:ext cx="304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952500"/>
    <xdr:sp macro="" textlink="">
      <xdr:nvSpPr>
        <xdr:cNvPr id="2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190750" y="18421350"/>
          <a:ext cx="304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1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1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1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1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1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2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2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2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2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17</xdr:row>
      <xdr:rowOff>95250</xdr:rowOff>
    </xdr:to>
    <xdr:sp macro="" textlink="">
      <xdr:nvSpPr>
        <xdr:cNvPr id="2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16</xdr:row>
      <xdr:rowOff>171450</xdr:rowOff>
    </xdr:to>
    <xdr:sp macro="" textlink="">
      <xdr:nvSpPr>
        <xdr:cNvPr id="2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220075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13</xdr:row>
      <xdr:rowOff>295275</xdr:rowOff>
    </xdr:to>
    <xdr:sp macro="" textlink="">
      <xdr:nvSpPr>
        <xdr:cNvPr id="2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15</xdr:row>
      <xdr:rowOff>123825</xdr:rowOff>
    </xdr:to>
    <xdr:sp macro="" textlink="">
      <xdr:nvSpPr>
        <xdr:cNvPr id="2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15</xdr:row>
      <xdr:rowOff>123825</xdr:rowOff>
    </xdr:to>
    <xdr:sp macro="" textlink="">
      <xdr:nvSpPr>
        <xdr:cNvPr id="2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295275</xdr:rowOff>
    </xdr:to>
    <xdr:sp macro="" textlink="">
      <xdr:nvSpPr>
        <xdr:cNvPr id="2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295275</xdr:rowOff>
    </xdr:to>
    <xdr:sp macro="" textlink="">
      <xdr:nvSpPr>
        <xdr:cNvPr id="3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3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3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3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3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3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190500"/>
    <xdr:sp macro="" textlink="">
      <xdr:nvSpPr>
        <xdr:cNvPr id="3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190500"/>
    <xdr:sp macro="" textlink="">
      <xdr:nvSpPr>
        <xdr:cNvPr id="3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133475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3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3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4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4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4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4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44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4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46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4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48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4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0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2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5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5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5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56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7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8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59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161925"/>
    <xdr:sp macro="" textlink="">
      <xdr:nvSpPr>
        <xdr:cNvPr id="60" name="AutoShape 1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47625"/>
    <xdr:sp macro="" textlink="">
      <xdr:nvSpPr>
        <xdr:cNvPr id="61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087100" y="11334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47625"/>
    <xdr:sp macro="" textlink="">
      <xdr:nvSpPr>
        <xdr:cNvPr id="62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58000" y="194310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47625"/>
    <xdr:sp macro="" textlink="">
      <xdr:nvSpPr>
        <xdr:cNvPr id="63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28850" y="1276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47625"/>
    <xdr:sp macro="" textlink="">
      <xdr:nvSpPr>
        <xdr:cNvPr id="64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28850" y="1276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47625"/>
    <xdr:sp macro="" textlink="">
      <xdr:nvSpPr>
        <xdr:cNvPr id="65" name="AutoShape 2" descr="https://tenders.procurement.gov.ge/public/images/profile24.pn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228850" y="160972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7" workbookViewId="0">
      <selection activeCell="K14" sqref="K14"/>
    </sheetView>
  </sheetViews>
  <sheetFormatPr defaultRowHeight="15" x14ac:dyDescent="0.25"/>
  <cols>
    <col min="1" max="1" width="23" customWidth="1"/>
    <col min="2" max="2" width="19.140625" customWidth="1"/>
    <col min="3" max="3" width="15.85546875" customWidth="1"/>
    <col min="4" max="4" width="27.5703125" customWidth="1"/>
    <col min="5" max="5" width="16.140625" customWidth="1"/>
    <col min="6" max="6" width="17.28515625" customWidth="1"/>
    <col min="7" max="7" width="18" style="35" customWidth="1"/>
    <col min="8" max="8" width="18.85546875" customWidth="1"/>
    <col min="9" max="9" width="20.5703125" customWidth="1"/>
    <col min="10" max="11" width="15.5703125" customWidth="1"/>
  </cols>
  <sheetData>
    <row r="1" spans="1:11" ht="18.75" customHeight="1" x14ac:dyDescent="0.25"/>
    <row r="2" spans="1:11" ht="18.75" customHeight="1" x14ac:dyDescent="0.3">
      <c r="A2" s="266"/>
      <c r="B2" s="266"/>
      <c r="C2" s="266"/>
      <c r="D2" s="266"/>
      <c r="E2" s="266"/>
      <c r="F2" s="266"/>
    </row>
    <row r="3" spans="1:11" ht="25.5" customHeight="1" x14ac:dyDescent="0.25">
      <c r="A3" s="267" t="s">
        <v>22</v>
      </c>
      <c r="B3" s="267"/>
      <c r="C3" s="267"/>
      <c r="D3" s="267"/>
      <c r="E3" s="267"/>
      <c r="F3" s="267"/>
      <c r="G3" s="267"/>
    </row>
    <row r="4" spans="1:11" ht="19.5" customHeight="1" x14ac:dyDescent="0.25">
      <c r="A4" s="17"/>
      <c r="B4" s="17"/>
      <c r="C4" s="17"/>
      <c r="D4" s="17"/>
      <c r="E4" s="17"/>
      <c r="F4" s="17"/>
      <c r="G4" s="36"/>
    </row>
    <row r="5" spans="1:11" ht="24" customHeight="1" x14ac:dyDescent="0.25">
      <c r="A5" s="268" t="s">
        <v>23</v>
      </c>
      <c r="B5" s="268"/>
      <c r="C5" s="268"/>
      <c r="D5" s="268"/>
      <c r="E5" s="268"/>
      <c r="F5" s="268"/>
      <c r="G5" s="268"/>
    </row>
    <row r="6" spans="1:11" ht="29.25" customHeight="1" x14ac:dyDescent="0.25">
      <c r="H6" s="47" t="s">
        <v>47</v>
      </c>
      <c r="I6" s="47" t="s">
        <v>48</v>
      </c>
      <c r="J6" s="173" t="s">
        <v>49</v>
      </c>
      <c r="K6" s="173" t="s">
        <v>83</v>
      </c>
    </row>
    <row r="7" spans="1:11" s="5" customFormat="1" ht="49.5" customHeight="1" x14ac:dyDescent="0.25">
      <c r="A7" s="2" t="s">
        <v>0</v>
      </c>
      <c r="B7" s="4" t="s">
        <v>11</v>
      </c>
      <c r="C7" s="30" t="s">
        <v>14</v>
      </c>
      <c r="D7" s="2" t="s">
        <v>2</v>
      </c>
      <c r="E7" s="4" t="s">
        <v>15</v>
      </c>
      <c r="F7" s="4" t="s">
        <v>4</v>
      </c>
      <c r="G7" s="4" t="s">
        <v>16</v>
      </c>
      <c r="H7" s="24">
        <v>950000</v>
      </c>
      <c r="I7" s="24">
        <f>C19</f>
        <v>551734.4</v>
      </c>
      <c r="J7" s="24">
        <v>397807.61</v>
      </c>
      <c r="K7" s="24">
        <f>H7-I7-J7</f>
        <v>457.98999999999069</v>
      </c>
    </row>
    <row r="8" spans="1:11" ht="30" customHeight="1" x14ac:dyDescent="0.25">
      <c r="A8" s="269" t="s">
        <v>191</v>
      </c>
      <c r="B8" s="272" t="s">
        <v>90</v>
      </c>
      <c r="C8" s="272">
        <v>382217.4</v>
      </c>
      <c r="D8" s="275" t="s">
        <v>204</v>
      </c>
      <c r="E8" s="66">
        <v>22949.11</v>
      </c>
      <c r="F8" s="65" t="s">
        <v>138</v>
      </c>
      <c r="G8" s="278">
        <v>0</v>
      </c>
      <c r="H8" s="49"/>
      <c r="J8" s="24">
        <v>397800</v>
      </c>
      <c r="K8" t="s">
        <v>237</v>
      </c>
    </row>
    <row r="9" spans="1:11" ht="31.5" customHeight="1" x14ac:dyDescent="0.25">
      <c r="A9" s="270"/>
      <c r="B9" s="273"/>
      <c r="C9" s="273"/>
      <c r="D9" s="276"/>
      <c r="E9" s="66">
        <v>1375.52</v>
      </c>
      <c r="F9" s="65" t="s">
        <v>197</v>
      </c>
      <c r="G9" s="279"/>
      <c r="H9" s="49"/>
    </row>
    <row r="10" spans="1:11" ht="30" customHeight="1" x14ac:dyDescent="0.25">
      <c r="A10" s="270"/>
      <c r="B10" s="273"/>
      <c r="C10" s="273"/>
      <c r="D10" s="276"/>
      <c r="E10" s="66">
        <v>58245.8</v>
      </c>
      <c r="F10" s="65" t="s">
        <v>179</v>
      </c>
      <c r="G10" s="279"/>
      <c r="H10" s="49"/>
    </row>
    <row r="11" spans="1:11" ht="30" customHeight="1" x14ac:dyDescent="0.25">
      <c r="A11" s="270"/>
      <c r="B11" s="273"/>
      <c r="C11" s="273"/>
      <c r="D11" s="276"/>
      <c r="E11" s="66">
        <v>13818.59</v>
      </c>
      <c r="F11" s="65" t="s">
        <v>221</v>
      </c>
      <c r="G11" s="279"/>
      <c r="H11" s="49"/>
    </row>
    <row r="12" spans="1:11" ht="30" customHeight="1" x14ac:dyDescent="0.25">
      <c r="A12" s="270"/>
      <c r="B12" s="273"/>
      <c r="C12" s="273"/>
      <c r="D12" s="276"/>
      <c r="E12" s="66">
        <v>285828.37</v>
      </c>
      <c r="F12" s="65" t="s">
        <v>226</v>
      </c>
      <c r="G12" s="279"/>
      <c r="H12" s="49"/>
    </row>
    <row r="13" spans="1:11" ht="30" customHeight="1" x14ac:dyDescent="0.25">
      <c r="A13" s="271"/>
      <c r="B13" s="274"/>
      <c r="C13" s="274"/>
      <c r="D13" s="277"/>
      <c r="E13" s="66"/>
      <c r="F13" s="65"/>
      <c r="G13" s="280"/>
      <c r="H13" s="49"/>
    </row>
    <row r="14" spans="1:11" ht="47.25" customHeight="1" x14ac:dyDescent="0.25">
      <c r="A14" s="57" t="s">
        <v>192</v>
      </c>
      <c r="B14" s="110" t="s">
        <v>90</v>
      </c>
      <c r="C14" s="66">
        <v>38542.6</v>
      </c>
      <c r="D14" s="144" t="s">
        <v>92</v>
      </c>
      <c r="E14" s="66">
        <v>38542.6</v>
      </c>
      <c r="F14" s="65" t="s">
        <v>198</v>
      </c>
      <c r="G14" s="117">
        <f>C14-E14</f>
        <v>0</v>
      </c>
    </row>
    <row r="15" spans="1:11" ht="40.5" customHeight="1" x14ac:dyDescent="0.25">
      <c r="A15" s="57" t="s">
        <v>193</v>
      </c>
      <c r="B15" s="110" t="s">
        <v>90</v>
      </c>
      <c r="C15" s="66">
        <v>63837.86</v>
      </c>
      <c r="D15" s="144" t="s">
        <v>92</v>
      </c>
      <c r="E15" s="66">
        <v>63837.86</v>
      </c>
      <c r="F15" s="65" t="s">
        <v>198</v>
      </c>
      <c r="G15" s="117">
        <f>C15-E15</f>
        <v>0</v>
      </c>
    </row>
    <row r="16" spans="1:11" ht="36" customHeight="1" x14ac:dyDescent="0.25">
      <c r="A16" s="57" t="s">
        <v>194</v>
      </c>
      <c r="B16" s="140" t="s">
        <v>90</v>
      </c>
      <c r="C16" s="66">
        <v>42270.69</v>
      </c>
      <c r="D16" s="144" t="s">
        <v>92</v>
      </c>
      <c r="E16" s="66">
        <v>42270.69</v>
      </c>
      <c r="F16" s="65" t="s">
        <v>198</v>
      </c>
      <c r="G16" s="117">
        <f>C16-E16</f>
        <v>0</v>
      </c>
    </row>
    <row r="17" spans="1:7" ht="30.75" customHeight="1" x14ac:dyDescent="0.25">
      <c r="A17" s="135" t="s">
        <v>195</v>
      </c>
      <c r="B17" s="140" t="s">
        <v>90</v>
      </c>
      <c r="C17" s="66">
        <v>15065.85</v>
      </c>
      <c r="D17" s="136" t="s">
        <v>92</v>
      </c>
      <c r="E17" s="66">
        <v>15065.85</v>
      </c>
      <c r="F17" s="65" t="s">
        <v>198</v>
      </c>
      <c r="G17" s="162">
        <f>C17-E17</f>
        <v>0</v>
      </c>
    </row>
    <row r="18" spans="1:7" ht="30.75" customHeight="1" x14ac:dyDescent="0.25">
      <c r="A18" s="137" t="s">
        <v>196</v>
      </c>
      <c r="B18" s="140" t="s">
        <v>81</v>
      </c>
      <c r="C18" s="140">
        <v>9800</v>
      </c>
      <c r="D18" s="140" t="s">
        <v>91</v>
      </c>
      <c r="E18" s="66">
        <v>9800</v>
      </c>
      <c r="F18" s="65" t="s">
        <v>197</v>
      </c>
      <c r="G18" s="117">
        <f>C18-E18</f>
        <v>0</v>
      </c>
    </row>
    <row r="19" spans="1:7" ht="26.25" customHeight="1" x14ac:dyDescent="0.25">
      <c r="C19" s="77">
        <f>SUM(C8:C18)</f>
        <v>551734.4</v>
      </c>
      <c r="D19" s="76"/>
      <c r="E19" s="99">
        <f>SUM(E8:E18)</f>
        <v>551734.39</v>
      </c>
      <c r="F19" s="134"/>
      <c r="G19" s="163">
        <f>SUM(G8:G18)</f>
        <v>0</v>
      </c>
    </row>
  </sheetData>
  <mergeCells count="8">
    <mergeCell ref="A2:F2"/>
    <mergeCell ref="A3:G3"/>
    <mergeCell ref="A5:G5"/>
    <mergeCell ref="A8:A13"/>
    <mergeCell ref="B8:B13"/>
    <mergeCell ref="C8:C13"/>
    <mergeCell ref="D8:D13"/>
    <mergeCell ref="G8:G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L18" sqref="L18"/>
    </sheetView>
  </sheetViews>
  <sheetFormatPr defaultRowHeight="15" x14ac:dyDescent="0.25"/>
  <cols>
    <col min="1" max="1" width="27" style="9" customWidth="1"/>
    <col min="2" max="2" width="25.140625" style="9" customWidth="1"/>
    <col min="3" max="3" width="17.28515625" style="9" customWidth="1"/>
    <col min="4" max="4" width="15.7109375" style="29" customWidth="1"/>
    <col min="5" max="5" width="17.5703125" style="9" customWidth="1"/>
    <col min="6" max="6" width="18.85546875" style="10" customWidth="1"/>
    <col min="7" max="7" width="18.85546875" style="9" customWidth="1"/>
    <col min="8" max="8" width="14.5703125" style="9" customWidth="1"/>
    <col min="9" max="9" width="18.85546875" style="9" customWidth="1"/>
    <col min="10" max="10" width="25.85546875" style="114" customWidth="1"/>
    <col min="11" max="11" width="24.85546875" style="9" customWidth="1"/>
    <col min="12" max="13" width="19.85546875" style="9" customWidth="1"/>
    <col min="14" max="14" width="20.42578125" style="9" bestFit="1" customWidth="1"/>
    <col min="15" max="16384" width="9.140625" style="9"/>
  </cols>
  <sheetData>
    <row r="1" spans="1:14" ht="21.75" customHeight="1" x14ac:dyDescent="0.25"/>
    <row r="2" spans="1:14" ht="32.25" customHeight="1" x14ac:dyDescent="0.3">
      <c r="A2" s="287" t="s">
        <v>24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4" ht="21.75" customHeight="1" x14ac:dyDescent="0.25"/>
    <row r="4" spans="1:14" ht="42" customHeight="1" x14ac:dyDescent="0.25">
      <c r="A4" s="288" t="s">
        <v>38</v>
      </c>
      <c r="B4" s="288"/>
      <c r="C4" s="288"/>
      <c r="D4" s="288"/>
      <c r="E4" s="288"/>
      <c r="F4" s="288"/>
      <c r="G4" s="288"/>
      <c r="H4" s="288"/>
      <c r="I4" s="288"/>
      <c r="J4" s="288"/>
      <c r="K4" s="90" t="s">
        <v>83</v>
      </c>
      <c r="L4" s="90" t="s">
        <v>48</v>
      </c>
      <c r="M4" s="119" t="s">
        <v>49</v>
      </c>
      <c r="N4" s="119" t="s">
        <v>83</v>
      </c>
    </row>
    <row r="5" spans="1:14" s="8" customFormat="1" ht="36" customHeight="1" x14ac:dyDescent="0.25">
      <c r="A5" s="80" t="s">
        <v>0</v>
      </c>
      <c r="B5" s="15" t="s">
        <v>11</v>
      </c>
      <c r="C5" s="15" t="s">
        <v>14</v>
      </c>
      <c r="D5" s="15" t="s">
        <v>84</v>
      </c>
      <c r="E5" s="15" t="s">
        <v>85</v>
      </c>
      <c r="F5" s="15" t="s">
        <v>2</v>
      </c>
      <c r="G5" s="15" t="s">
        <v>17</v>
      </c>
      <c r="H5" s="15" t="s">
        <v>143</v>
      </c>
      <c r="I5" s="15" t="s">
        <v>4</v>
      </c>
      <c r="J5" s="94" t="s">
        <v>16</v>
      </c>
      <c r="K5" s="93">
        <v>310000</v>
      </c>
      <c r="L5" s="118">
        <f>G13+J13</f>
        <v>293023.07000000007</v>
      </c>
      <c r="M5" s="118">
        <v>950.88</v>
      </c>
      <c r="N5" s="92">
        <f>K5-L5-M5</f>
        <v>16026.049999999936</v>
      </c>
    </row>
    <row r="6" spans="1:14" s="6" customFormat="1" ht="26.25" customHeight="1" x14ac:dyDescent="0.25">
      <c r="A6" s="233" t="s">
        <v>134</v>
      </c>
      <c r="B6" s="232" t="s">
        <v>40</v>
      </c>
      <c r="C6" s="235">
        <v>10996.9</v>
      </c>
      <c r="D6" s="235"/>
      <c r="E6" s="232" t="s">
        <v>131</v>
      </c>
      <c r="F6" s="236" t="s">
        <v>130</v>
      </c>
      <c r="G6" s="44">
        <v>10996.9</v>
      </c>
      <c r="H6" s="4"/>
      <c r="I6" s="7" t="s">
        <v>313</v>
      </c>
      <c r="J6" s="242">
        <f>C6-G6</f>
        <v>0</v>
      </c>
    </row>
    <row r="7" spans="1:14" s="1" customFormat="1" ht="26.25" customHeight="1" x14ac:dyDescent="0.25">
      <c r="A7" s="208" t="s">
        <v>133</v>
      </c>
      <c r="B7" s="209" t="s">
        <v>31</v>
      </c>
      <c r="C7" s="210">
        <v>63734.82</v>
      </c>
      <c r="D7" s="210"/>
      <c r="E7" s="209" t="s">
        <v>131</v>
      </c>
      <c r="F7" s="211" t="s">
        <v>32</v>
      </c>
      <c r="G7" s="142">
        <v>60408.6</v>
      </c>
      <c r="H7" s="122">
        <v>3326.22</v>
      </c>
      <c r="I7" s="61" t="s">
        <v>140</v>
      </c>
      <c r="J7" s="212">
        <f>C7-G7-H7</f>
        <v>0</v>
      </c>
    </row>
    <row r="8" spans="1:14" s="1" customFormat="1" ht="26.25" customHeight="1" x14ac:dyDescent="0.25">
      <c r="A8" s="111" t="s">
        <v>132</v>
      </c>
      <c r="B8" s="121" t="s">
        <v>71</v>
      </c>
      <c r="C8" s="122">
        <v>96169.4</v>
      </c>
      <c r="D8" s="95"/>
      <c r="E8" s="122" t="s">
        <v>131</v>
      </c>
      <c r="F8" s="113" t="s">
        <v>36</v>
      </c>
      <c r="G8" s="169">
        <v>92139.33</v>
      </c>
      <c r="H8" s="142">
        <v>4030.07</v>
      </c>
      <c r="I8" s="7" t="s">
        <v>147</v>
      </c>
      <c r="J8" s="243">
        <f>C8-G8-H8</f>
        <v>-7.73070496506989E-12</v>
      </c>
    </row>
    <row r="9" spans="1:14" s="1" customFormat="1" ht="24" customHeight="1" x14ac:dyDescent="0.25">
      <c r="A9" s="281" t="s">
        <v>180</v>
      </c>
      <c r="B9" s="293" t="s">
        <v>71</v>
      </c>
      <c r="C9" s="293">
        <v>110342.15</v>
      </c>
      <c r="D9" s="293"/>
      <c r="E9" s="293" t="s">
        <v>135</v>
      </c>
      <c r="F9" s="293" t="s">
        <v>181</v>
      </c>
      <c r="G9" s="45">
        <v>7652.63</v>
      </c>
      <c r="H9" s="45">
        <v>295.37</v>
      </c>
      <c r="I9" s="7" t="s">
        <v>218</v>
      </c>
      <c r="J9" s="302">
        <f>C9-G9-G10-H9-H10-G11</f>
        <v>0</v>
      </c>
    </row>
    <row r="10" spans="1:14" s="1" customFormat="1" ht="18.75" customHeight="1" x14ac:dyDescent="0.25">
      <c r="A10" s="282"/>
      <c r="B10" s="293"/>
      <c r="C10" s="293"/>
      <c r="D10" s="293"/>
      <c r="E10" s="293"/>
      <c r="F10" s="293"/>
      <c r="G10" s="45">
        <v>83995.77</v>
      </c>
      <c r="H10" s="238">
        <v>1100.54</v>
      </c>
      <c r="I10" s="7" t="s">
        <v>264</v>
      </c>
      <c r="J10" s="303"/>
    </row>
    <row r="11" spans="1:14" s="1" customFormat="1" ht="18.75" customHeight="1" x14ac:dyDescent="0.25">
      <c r="A11" s="283"/>
      <c r="B11" s="293"/>
      <c r="C11" s="293"/>
      <c r="D11" s="293"/>
      <c r="E11" s="293"/>
      <c r="F11" s="293"/>
      <c r="G11" s="45">
        <v>17297.84</v>
      </c>
      <c r="H11" s="238"/>
      <c r="I11" s="7" t="s">
        <v>313</v>
      </c>
      <c r="J11" s="304"/>
    </row>
    <row r="12" spans="1:14" s="1" customFormat="1" ht="18.75" customHeight="1" x14ac:dyDescent="0.25">
      <c r="A12" s="264" t="s">
        <v>374</v>
      </c>
      <c r="B12" s="262" t="s">
        <v>376</v>
      </c>
      <c r="C12" s="45">
        <v>20532</v>
      </c>
      <c r="D12" s="261"/>
      <c r="E12" s="261"/>
      <c r="F12" s="261"/>
      <c r="G12" s="45">
        <v>20532</v>
      </c>
      <c r="H12" s="265"/>
      <c r="I12" s="7" t="s">
        <v>375</v>
      </c>
      <c r="J12" s="263">
        <f>C12-G12</f>
        <v>0</v>
      </c>
    </row>
    <row r="13" spans="1:14" s="1" customFormat="1" ht="25.5" customHeight="1" x14ac:dyDescent="0.25">
      <c r="A13" s="40"/>
      <c r="B13" s="18"/>
      <c r="C13" s="19">
        <f>SUM(C7:C10)</f>
        <v>270246.37</v>
      </c>
      <c r="D13" s="96"/>
      <c r="E13" s="19"/>
      <c r="F13" s="20"/>
      <c r="G13" s="19">
        <f>SUM(G6:G12)</f>
        <v>293023.07000000007</v>
      </c>
      <c r="H13" s="19">
        <f>SUM(H6:H9)</f>
        <v>7651.66</v>
      </c>
      <c r="I13" s="19"/>
      <c r="J13" s="96">
        <f>SUM(J7:J10)</f>
        <v>-7.73070496506989E-12</v>
      </c>
      <c r="K13" s="225"/>
    </row>
    <row r="14" spans="1:14" s="1" customFormat="1" x14ac:dyDescent="0.25">
      <c r="A14" s="40"/>
      <c r="B14" s="18"/>
      <c r="C14" s="19"/>
      <c r="D14" s="96"/>
      <c r="E14" s="19"/>
      <c r="F14" s="20"/>
      <c r="G14" s="21"/>
      <c r="H14" s="22"/>
      <c r="I14" s="23"/>
      <c r="J14" s="106"/>
    </row>
    <row r="15" spans="1:14" s="1" customFormat="1" ht="43.5" customHeight="1" x14ac:dyDescent="0.25">
      <c r="A15" s="288" t="s">
        <v>25</v>
      </c>
      <c r="B15" s="288"/>
      <c r="C15" s="288"/>
      <c r="D15" s="288"/>
      <c r="E15" s="288"/>
      <c r="F15" s="288"/>
      <c r="G15" s="288"/>
      <c r="H15" s="288"/>
      <c r="I15" s="288"/>
      <c r="J15" s="288"/>
    </row>
    <row r="16" spans="1:14" s="8" customFormat="1" ht="36" customHeight="1" x14ac:dyDescent="0.25">
      <c r="A16" s="80" t="s">
        <v>0</v>
      </c>
      <c r="B16" s="15" t="s">
        <v>11</v>
      </c>
      <c r="C16" s="15" t="s">
        <v>14</v>
      </c>
      <c r="D16" s="94"/>
      <c r="E16" s="15"/>
      <c r="F16" s="15" t="s">
        <v>2</v>
      </c>
      <c r="G16" s="15" t="s">
        <v>17</v>
      </c>
      <c r="H16" s="15" t="s">
        <v>143</v>
      </c>
      <c r="I16" s="15" t="s">
        <v>4</v>
      </c>
      <c r="J16" s="94" t="s">
        <v>16</v>
      </c>
      <c r="K16" s="93">
        <v>18570000</v>
      </c>
      <c r="L16" s="93">
        <f>G96</f>
        <v>17575560.079999991</v>
      </c>
      <c r="M16" s="93">
        <v>293531</v>
      </c>
      <c r="N16" s="93">
        <f>K16-L16-M16</f>
        <v>700908.92000000924</v>
      </c>
    </row>
    <row r="17" spans="1:13" s="8" customFormat="1" ht="21" customHeight="1" x14ac:dyDescent="0.25">
      <c r="A17" s="294" t="s">
        <v>166</v>
      </c>
      <c r="B17" s="297" t="s">
        <v>34</v>
      </c>
      <c r="C17" s="297">
        <v>13747252.220000001</v>
      </c>
      <c r="D17" s="297"/>
      <c r="E17" s="297" t="s">
        <v>136</v>
      </c>
      <c r="F17" s="297" t="s">
        <v>35</v>
      </c>
      <c r="G17" s="130">
        <v>227280.73</v>
      </c>
      <c r="H17" s="122">
        <v>4813.38</v>
      </c>
      <c r="I17" s="120" t="s">
        <v>142</v>
      </c>
      <c r="J17" s="305">
        <v>0</v>
      </c>
    </row>
    <row r="18" spans="1:13" s="8" customFormat="1" ht="21" customHeight="1" x14ac:dyDescent="0.25">
      <c r="A18" s="295"/>
      <c r="B18" s="298"/>
      <c r="C18" s="298"/>
      <c r="D18" s="298"/>
      <c r="E18" s="298"/>
      <c r="F18" s="298"/>
      <c r="G18" s="130">
        <v>114596.28</v>
      </c>
      <c r="H18" s="120">
        <v>1965.05</v>
      </c>
      <c r="I18" s="120" t="s">
        <v>140</v>
      </c>
      <c r="J18" s="306"/>
      <c r="M18" s="93">
        <v>204587</v>
      </c>
    </row>
    <row r="19" spans="1:13" s="8" customFormat="1" ht="21" customHeight="1" x14ac:dyDescent="0.25">
      <c r="A19" s="295"/>
      <c r="B19" s="298"/>
      <c r="C19" s="298"/>
      <c r="D19" s="298"/>
      <c r="E19" s="298"/>
      <c r="F19" s="298"/>
      <c r="G19" s="130">
        <v>1139457.8500000001</v>
      </c>
      <c r="H19" s="123">
        <v>2980.24</v>
      </c>
      <c r="I19" s="123" t="s">
        <v>148</v>
      </c>
      <c r="J19" s="306"/>
    </row>
    <row r="20" spans="1:13" s="8" customFormat="1" ht="21" customHeight="1" x14ac:dyDescent="0.25">
      <c r="A20" s="295"/>
      <c r="B20" s="298"/>
      <c r="C20" s="298"/>
      <c r="D20" s="298"/>
      <c r="E20" s="298"/>
      <c r="F20" s="298"/>
      <c r="G20" s="130">
        <v>1239977.73</v>
      </c>
      <c r="H20" s="132">
        <v>22770.400000000001</v>
      </c>
      <c r="I20" s="132" t="s">
        <v>169</v>
      </c>
      <c r="J20" s="306"/>
      <c r="K20" s="38"/>
    </row>
    <row r="21" spans="1:13" s="8" customFormat="1" ht="21" customHeight="1" x14ac:dyDescent="0.25">
      <c r="A21" s="295"/>
      <c r="B21" s="298"/>
      <c r="C21" s="298"/>
      <c r="D21" s="298"/>
      <c r="E21" s="298"/>
      <c r="F21" s="298"/>
      <c r="G21" s="130">
        <v>29608.959999999999</v>
      </c>
      <c r="H21" s="139">
        <v>964.04</v>
      </c>
      <c r="I21" s="139" t="s">
        <v>188</v>
      </c>
      <c r="J21" s="306"/>
    </row>
    <row r="22" spans="1:13" s="8" customFormat="1" ht="21" customHeight="1" x14ac:dyDescent="0.25">
      <c r="A22" s="295"/>
      <c r="B22" s="298"/>
      <c r="C22" s="298"/>
      <c r="D22" s="298"/>
      <c r="E22" s="298"/>
      <c r="F22" s="298"/>
      <c r="G22" s="130">
        <v>1358555.74</v>
      </c>
      <c r="H22" s="171">
        <v>43619.360000000001</v>
      </c>
      <c r="I22" s="171" t="s">
        <v>217</v>
      </c>
      <c r="J22" s="306"/>
    </row>
    <row r="23" spans="1:13" s="8" customFormat="1" ht="21" customHeight="1" x14ac:dyDescent="0.25">
      <c r="A23" s="295"/>
      <c r="B23" s="298"/>
      <c r="C23" s="298"/>
      <c r="D23" s="298"/>
      <c r="E23" s="298"/>
      <c r="F23" s="298"/>
      <c r="G23" s="130">
        <v>447.97</v>
      </c>
      <c r="H23" s="171">
        <v>25.03</v>
      </c>
      <c r="I23" s="171" t="s">
        <v>222</v>
      </c>
      <c r="J23" s="306"/>
    </row>
    <row r="24" spans="1:13" s="8" customFormat="1" ht="21" customHeight="1" x14ac:dyDescent="0.25">
      <c r="A24" s="295"/>
      <c r="B24" s="298"/>
      <c r="C24" s="298"/>
      <c r="D24" s="298"/>
      <c r="E24" s="298"/>
      <c r="F24" s="298"/>
      <c r="G24" s="130">
        <v>1179496.18</v>
      </c>
      <c r="H24" s="171">
        <v>82553.62</v>
      </c>
      <c r="I24" s="171" t="s">
        <v>224</v>
      </c>
      <c r="J24" s="306"/>
    </row>
    <row r="25" spans="1:13" s="8" customFormat="1" ht="21" customHeight="1" x14ac:dyDescent="0.25">
      <c r="A25" s="295"/>
      <c r="B25" s="298"/>
      <c r="C25" s="298"/>
      <c r="D25" s="298"/>
      <c r="E25" s="298"/>
      <c r="F25" s="298"/>
      <c r="G25" s="130">
        <v>1185466.3400000001</v>
      </c>
      <c r="H25" s="190">
        <v>86967.11</v>
      </c>
      <c r="I25" s="190" t="s">
        <v>242</v>
      </c>
      <c r="J25" s="306"/>
    </row>
    <row r="26" spans="1:13" s="8" customFormat="1" ht="21" customHeight="1" x14ac:dyDescent="0.25">
      <c r="A26" s="295"/>
      <c r="B26" s="298"/>
      <c r="C26" s="298"/>
      <c r="D26" s="298"/>
      <c r="E26" s="298"/>
      <c r="F26" s="298"/>
      <c r="G26" s="130">
        <v>1200155.8799999999</v>
      </c>
      <c r="H26" s="207">
        <v>94388.12</v>
      </c>
      <c r="I26" s="207" t="s">
        <v>265</v>
      </c>
      <c r="J26" s="306"/>
    </row>
    <row r="27" spans="1:13" s="8" customFormat="1" ht="21" customHeight="1" x14ac:dyDescent="0.25">
      <c r="A27" s="295"/>
      <c r="B27" s="298"/>
      <c r="C27" s="298"/>
      <c r="D27" s="298"/>
      <c r="E27" s="298"/>
      <c r="F27" s="298"/>
      <c r="G27" s="130">
        <v>1083.58</v>
      </c>
      <c r="H27" s="207">
        <v>77.42</v>
      </c>
      <c r="I27" s="207" t="s">
        <v>266</v>
      </c>
      <c r="J27" s="306"/>
    </row>
    <row r="28" spans="1:13" s="8" customFormat="1" ht="21" customHeight="1" x14ac:dyDescent="0.25">
      <c r="A28" s="295"/>
      <c r="B28" s="298"/>
      <c r="C28" s="298"/>
      <c r="D28" s="298"/>
      <c r="E28" s="298"/>
      <c r="F28" s="298"/>
      <c r="G28" s="130">
        <v>1236658.01</v>
      </c>
      <c r="H28" s="190">
        <v>33081.89</v>
      </c>
      <c r="I28" s="190" t="s">
        <v>275</v>
      </c>
      <c r="J28" s="306"/>
    </row>
    <row r="29" spans="1:13" s="8" customFormat="1" ht="21" customHeight="1" x14ac:dyDescent="0.25">
      <c r="A29" s="295"/>
      <c r="B29" s="298"/>
      <c r="C29" s="298"/>
      <c r="D29" s="298"/>
      <c r="E29" s="298"/>
      <c r="F29" s="298"/>
      <c r="G29" s="130">
        <v>1252395.92</v>
      </c>
      <c r="H29" s="234">
        <v>22532.73</v>
      </c>
      <c r="I29" s="234" t="s">
        <v>312</v>
      </c>
      <c r="J29" s="306"/>
    </row>
    <row r="30" spans="1:13" s="8" customFormat="1" ht="21" customHeight="1" x14ac:dyDescent="0.25">
      <c r="A30" s="295"/>
      <c r="B30" s="298"/>
      <c r="C30" s="298"/>
      <c r="D30" s="298"/>
      <c r="E30" s="298"/>
      <c r="F30" s="298"/>
      <c r="G30" s="130">
        <v>1256749.25</v>
      </c>
      <c r="H30" s="240"/>
      <c r="I30" s="240" t="s">
        <v>321</v>
      </c>
      <c r="J30" s="306"/>
    </row>
    <row r="31" spans="1:13" s="8" customFormat="1" ht="21" customHeight="1" x14ac:dyDescent="0.25">
      <c r="A31" s="295"/>
      <c r="B31" s="298"/>
      <c r="C31" s="298"/>
      <c r="D31" s="298"/>
      <c r="E31" s="298"/>
      <c r="F31" s="298"/>
      <c r="G31" s="130">
        <v>1361.6</v>
      </c>
      <c r="H31" s="240"/>
      <c r="I31" s="240" t="s">
        <v>322</v>
      </c>
      <c r="J31" s="306"/>
    </row>
    <row r="32" spans="1:13" s="8" customFormat="1" ht="21" customHeight="1" x14ac:dyDescent="0.25">
      <c r="A32" s="295"/>
      <c r="B32" s="298"/>
      <c r="C32" s="298"/>
      <c r="D32" s="298"/>
      <c r="E32" s="298"/>
      <c r="F32" s="298"/>
      <c r="G32" s="130">
        <v>1917158.99</v>
      </c>
      <c r="H32" s="234">
        <v>9612.81</v>
      </c>
      <c r="I32" s="234" t="s">
        <v>319</v>
      </c>
      <c r="J32" s="306"/>
    </row>
    <row r="33" spans="1:10" s="8" customFormat="1" ht="21" customHeight="1" x14ac:dyDescent="0.25">
      <c r="A33" s="296"/>
      <c r="B33" s="299"/>
      <c r="C33" s="299"/>
      <c r="D33" s="299"/>
      <c r="E33" s="299"/>
      <c r="F33" s="299"/>
      <c r="G33" s="130"/>
      <c r="H33" s="234"/>
      <c r="I33" s="234"/>
      <c r="J33" s="307"/>
    </row>
    <row r="34" spans="1:10" s="8" customFormat="1" ht="21" customHeight="1" x14ac:dyDescent="0.25">
      <c r="A34" s="281" t="s">
        <v>171</v>
      </c>
      <c r="B34" s="289" t="s">
        <v>40</v>
      </c>
      <c r="C34" s="289">
        <v>323793</v>
      </c>
      <c r="D34" s="289"/>
      <c r="E34" s="289" t="s">
        <v>167</v>
      </c>
      <c r="F34" s="289" t="s">
        <v>41</v>
      </c>
      <c r="G34" s="130">
        <v>27429.63</v>
      </c>
      <c r="H34" s="132">
        <v>1570.37</v>
      </c>
      <c r="I34" s="78" t="s">
        <v>168</v>
      </c>
      <c r="J34" s="284">
        <f>C34-G34-G35-G36-G37-G38-G39-G40-G41-G42-G43-H34-H35-H36-H37-H38-H39-H40-H41-H42-H43-G44</f>
        <v>0</v>
      </c>
    </row>
    <row r="35" spans="1:10" s="8" customFormat="1" ht="21" customHeight="1" x14ac:dyDescent="0.25">
      <c r="A35" s="282"/>
      <c r="B35" s="290"/>
      <c r="C35" s="290"/>
      <c r="D35" s="290"/>
      <c r="E35" s="290"/>
      <c r="F35" s="290"/>
      <c r="G35" s="130">
        <v>1419.84</v>
      </c>
      <c r="H35" s="139">
        <v>80.16</v>
      </c>
      <c r="I35" s="138" t="s">
        <v>188</v>
      </c>
      <c r="J35" s="285"/>
    </row>
    <row r="36" spans="1:10" s="8" customFormat="1" ht="21" customHeight="1" x14ac:dyDescent="0.25">
      <c r="A36" s="282"/>
      <c r="B36" s="290"/>
      <c r="C36" s="290"/>
      <c r="D36" s="290"/>
      <c r="E36" s="290"/>
      <c r="F36" s="290"/>
      <c r="G36" s="130">
        <v>29620.560000000001</v>
      </c>
      <c r="H36" s="139">
        <v>1129.44</v>
      </c>
      <c r="I36" s="138" t="s">
        <v>221</v>
      </c>
      <c r="J36" s="285"/>
    </row>
    <row r="37" spans="1:10" s="8" customFormat="1" ht="21" customHeight="1" x14ac:dyDescent="0.25">
      <c r="A37" s="282"/>
      <c r="B37" s="290"/>
      <c r="C37" s="290"/>
      <c r="D37" s="290"/>
      <c r="E37" s="290"/>
      <c r="F37" s="290"/>
      <c r="G37" s="130">
        <v>27434.34</v>
      </c>
      <c r="H37" s="186">
        <v>940.66</v>
      </c>
      <c r="I37" s="185" t="s">
        <v>238</v>
      </c>
      <c r="J37" s="285"/>
    </row>
    <row r="38" spans="1:10" s="8" customFormat="1" ht="21" customHeight="1" x14ac:dyDescent="0.25">
      <c r="A38" s="282"/>
      <c r="B38" s="290"/>
      <c r="C38" s="290"/>
      <c r="D38" s="290"/>
      <c r="E38" s="290"/>
      <c r="F38" s="290"/>
      <c r="G38" s="130">
        <v>28043.67</v>
      </c>
      <c r="H38" s="207">
        <v>1156.33</v>
      </c>
      <c r="I38" s="211" t="s">
        <v>242</v>
      </c>
      <c r="J38" s="285"/>
    </row>
    <row r="39" spans="1:10" s="8" customFormat="1" ht="21" customHeight="1" x14ac:dyDescent="0.25">
      <c r="A39" s="282"/>
      <c r="B39" s="290"/>
      <c r="C39" s="290"/>
      <c r="D39" s="290"/>
      <c r="E39" s="290"/>
      <c r="F39" s="290"/>
      <c r="G39" s="130">
        <v>25563.91</v>
      </c>
      <c r="H39" s="190">
        <v>811.09</v>
      </c>
      <c r="I39" s="189" t="s">
        <v>267</v>
      </c>
      <c r="J39" s="285"/>
    </row>
    <row r="40" spans="1:10" s="8" customFormat="1" ht="21" customHeight="1" x14ac:dyDescent="0.25">
      <c r="A40" s="282"/>
      <c r="B40" s="290"/>
      <c r="C40" s="290"/>
      <c r="D40" s="290"/>
      <c r="E40" s="290"/>
      <c r="F40" s="290"/>
      <c r="G40" s="130">
        <v>29475</v>
      </c>
      <c r="H40" s="218"/>
      <c r="I40" s="219" t="s">
        <v>278</v>
      </c>
      <c r="J40" s="285"/>
    </row>
    <row r="41" spans="1:10" s="8" customFormat="1" ht="21" customHeight="1" x14ac:dyDescent="0.25">
      <c r="A41" s="282"/>
      <c r="B41" s="290"/>
      <c r="C41" s="290"/>
      <c r="D41" s="290"/>
      <c r="E41" s="290"/>
      <c r="F41" s="290"/>
      <c r="G41" s="130">
        <v>30450</v>
      </c>
      <c r="H41" s="234"/>
      <c r="I41" s="236" t="s">
        <v>313</v>
      </c>
      <c r="J41" s="285"/>
    </row>
    <row r="42" spans="1:10" s="8" customFormat="1" ht="21" customHeight="1" x14ac:dyDescent="0.25">
      <c r="A42" s="282"/>
      <c r="B42" s="290"/>
      <c r="C42" s="290"/>
      <c r="D42" s="290"/>
      <c r="E42" s="290"/>
      <c r="F42" s="290"/>
      <c r="G42" s="130">
        <v>31257.599999999999</v>
      </c>
      <c r="H42" s="240"/>
      <c r="I42" s="236" t="s">
        <v>323</v>
      </c>
      <c r="J42" s="285"/>
    </row>
    <row r="43" spans="1:10" s="8" customFormat="1" ht="21" customHeight="1" x14ac:dyDescent="0.25">
      <c r="A43" s="282"/>
      <c r="B43" s="290"/>
      <c r="C43" s="290"/>
      <c r="D43" s="290"/>
      <c r="E43" s="290"/>
      <c r="F43" s="290"/>
      <c r="G43" s="130">
        <v>31891.200000000001</v>
      </c>
      <c r="H43" s="240"/>
      <c r="I43" s="236" t="s">
        <v>371</v>
      </c>
      <c r="J43" s="285"/>
    </row>
    <row r="44" spans="1:10" s="8" customFormat="1" ht="21" customHeight="1" x14ac:dyDescent="0.25">
      <c r="A44" s="283"/>
      <c r="B44" s="300"/>
      <c r="C44" s="300"/>
      <c r="D44" s="300"/>
      <c r="E44" s="300"/>
      <c r="F44" s="300"/>
      <c r="G44" s="130">
        <v>55519.199999999997</v>
      </c>
      <c r="H44" s="256"/>
      <c r="I44" s="236" t="s">
        <v>372</v>
      </c>
      <c r="J44" s="286"/>
    </row>
    <row r="45" spans="1:10" s="8" customFormat="1" ht="24" customHeight="1" x14ac:dyDescent="0.25">
      <c r="A45" s="281" t="s">
        <v>170</v>
      </c>
      <c r="B45" s="289" t="s">
        <v>71</v>
      </c>
      <c r="C45" s="410">
        <v>431516</v>
      </c>
      <c r="D45" s="289"/>
      <c r="E45" s="289" t="s">
        <v>172</v>
      </c>
      <c r="F45" s="289" t="s">
        <v>173</v>
      </c>
      <c r="G45" s="130">
        <v>45473.73</v>
      </c>
      <c r="H45" s="44">
        <v>826.27</v>
      </c>
      <c r="I45" s="138" t="s">
        <v>189</v>
      </c>
      <c r="J45" s="407">
        <f>C45-G45-G46-G47-G48-G49-G50-G51-G52-G53</f>
        <v>10911.379999999976</v>
      </c>
    </row>
    <row r="46" spans="1:10" s="8" customFormat="1" ht="24" customHeight="1" x14ac:dyDescent="0.25">
      <c r="A46" s="282"/>
      <c r="B46" s="290"/>
      <c r="C46" s="411"/>
      <c r="D46" s="290"/>
      <c r="E46" s="290"/>
      <c r="F46" s="290"/>
      <c r="G46" s="130">
        <v>40673.08</v>
      </c>
      <c r="H46" s="142">
        <v>2293.3200000000002</v>
      </c>
      <c r="I46" s="138" t="s">
        <v>223</v>
      </c>
      <c r="J46" s="408"/>
    </row>
    <row r="47" spans="1:10" s="8" customFormat="1" ht="24" customHeight="1" x14ac:dyDescent="0.25">
      <c r="A47" s="282"/>
      <c r="B47" s="290"/>
      <c r="C47" s="411"/>
      <c r="D47" s="290"/>
      <c r="E47" s="290"/>
      <c r="F47" s="290"/>
      <c r="G47" s="188">
        <v>35286.370000000003</v>
      </c>
      <c r="H47" s="142">
        <v>2494.4299999999998</v>
      </c>
      <c r="I47" s="138" t="s">
        <v>239</v>
      </c>
      <c r="J47" s="408"/>
    </row>
    <row r="48" spans="1:10" s="8" customFormat="1" ht="24" customHeight="1" x14ac:dyDescent="0.25">
      <c r="A48" s="282"/>
      <c r="B48" s="290"/>
      <c r="C48" s="411"/>
      <c r="D48" s="290"/>
      <c r="E48" s="290"/>
      <c r="F48" s="290"/>
      <c r="G48" s="130">
        <v>35610.589999999997</v>
      </c>
      <c r="H48" s="142">
        <v>2429.4899999999998</v>
      </c>
      <c r="I48" s="138" t="s">
        <v>244</v>
      </c>
      <c r="J48" s="408"/>
    </row>
    <row r="49" spans="1:10" s="8" customFormat="1" ht="24" customHeight="1" x14ac:dyDescent="0.25">
      <c r="A49" s="282"/>
      <c r="B49" s="290"/>
      <c r="C49" s="411"/>
      <c r="D49" s="290"/>
      <c r="E49" s="290"/>
      <c r="F49" s="290"/>
      <c r="G49" s="130">
        <v>39033.19</v>
      </c>
      <c r="H49" s="213">
        <v>1284.8499999999999</v>
      </c>
      <c r="I49" s="211" t="s">
        <v>268</v>
      </c>
      <c r="J49" s="408"/>
    </row>
    <row r="50" spans="1:10" s="8" customFormat="1" ht="24" customHeight="1" x14ac:dyDescent="0.25">
      <c r="A50" s="282"/>
      <c r="B50" s="290"/>
      <c r="C50" s="411"/>
      <c r="D50" s="290"/>
      <c r="E50" s="290"/>
      <c r="F50" s="290"/>
      <c r="G50" s="130">
        <v>36884.79</v>
      </c>
      <c r="H50" s="238">
        <v>433.01</v>
      </c>
      <c r="I50" s="236" t="s">
        <v>311</v>
      </c>
      <c r="J50" s="408"/>
    </row>
    <row r="51" spans="1:10" s="8" customFormat="1" ht="24" customHeight="1" x14ac:dyDescent="0.25">
      <c r="A51" s="282"/>
      <c r="B51" s="290"/>
      <c r="C51" s="411"/>
      <c r="D51" s="290"/>
      <c r="E51" s="290"/>
      <c r="F51" s="290"/>
      <c r="G51" s="130">
        <v>36114</v>
      </c>
      <c r="H51" s="213">
        <v>0</v>
      </c>
      <c r="I51" s="211" t="s">
        <v>310</v>
      </c>
      <c r="J51" s="408"/>
    </row>
    <row r="52" spans="1:10" s="8" customFormat="1" ht="24" customHeight="1" x14ac:dyDescent="0.25">
      <c r="A52" s="282"/>
      <c r="B52" s="290"/>
      <c r="C52" s="411"/>
      <c r="D52" s="290"/>
      <c r="E52" s="290"/>
      <c r="F52" s="290"/>
      <c r="G52" s="130">
        <v>34798.11</v>
      </c>
      <c r="H52" s="244">
        <v>223.21</v>
      </c>
      <c r="I52" s="236" t="s">
        <v>320</v>
      </c>
      <c r="J52" s="408"/>
    </row>
    <row r="53" spans="1:10" s="8" customFormat="1" ht="24" customHeight="1" x14ac:dyDescent="0.25">
      <c r="A53" s="283"/>
      <c r="B53" s="300"/>
      <c r="C53" s="412"/>
      <c r="D53" s="300"/>
      <c r="E53" s="300"/>
      <c r="F53" s="300"/>
      <c r="G53" s="130">
        <v>116730.76</v>
      </c>
      <c r="H53" s="265"/>
      <c r="I53" s="236"/>
      <c r="J53" s="409"/>
    </row>
    <row r="54" spans="1:10" s="8" customFormat="1" ht="21" customHeight="1" x14ac:dyDescent="0.25">
      <c r="A54" s="281" t="s">
        <v>174</v>
      </c>
      <c r="B54" s="289" t="s">
        <v>71</v>
      </c>
      <c r="C54" s="289">
        <v>646309.61</v>
      </c>
      <c r="D54" s="289"/>
      <c r="E54" s="289"/>
      <c r="F54" s="289" t="s">
        <v>33</v>
      </c>
      <c r="G54" s="130">
        <v>8428</v>
      </c>
      <c r="H54" s="44">
        <v>0</v>
      </c>
      <c r="I54" s="59" t="s">
        <v>190</v>
      </c>
      <c r="J54" s="291">
        <v>0</v>
      </c>
    </row>
    <row r="55" spans="1:10" s="8" customFormat="1" ht="21" customHeight="1" x14ac:dyDescent="0.25">
      <c r="A55" s="282"/>
      <c r="B55" s="290"/>
      <c r="C55" s="290"/>
      <c r="D55" s="290"/>
      <c r="E55" s="290"/>
      <c r="F55" s="290"/>
      <c r="G55" s="130">
        <v>210700</v>
      </c>
      <c r="H55" s="142">
        <v>0</v>
      </c>
      <c r="I55" s="142" t="s">
        <v>190</v>
      </c>
      <c r="J55" s="292"/>
    </row>
    <row r="56" spans="1:10" s="8" customFormat="1" ht="21" customHeight="1" x14ac:dyDescent="0.25">
      <c r="A56" s="282"/>
      <c r="B56" s="290"/>
      <c r="C56" s="290"/>
      <c r="D56" s="290"/>
      <c r="E56" s="290"/>
      <c r="F56" s="290"/>
      <c r="G56" s="130">
        <v>14209.61</v>
      </c>
      <c r="H56" s="142">
        <v>0</v>
      </c>
      <c r="I56" s="142" t="s">
        <v>190</v>
      </c>
      <c r="J56" s="292"/>
    </row>
    <row r="57" spans="1:10" s="8" customFormat="1" ht="21" customHeight="1" x14ac:dyDescent="0.25">
      <c r="A57" s="282"/>
      <c r="B57" s="290"/>
      <c r="C57" s="290"/>
      <c r="D57" s="290"/>
      <c r="E57" s="290"/>
      <c r="F57" s="290"/>
      <c r="G57" s="130">
        <v>193846.14</v>
      </c>
      <c r="H57" s="142">
        <v>7616.77</v>
      </c>
      <c r="I57" s="142" t="s">
        <v>223</v>
      </c>
      <c r="J57" s="292"/>
    </row>
    <row r="58" spans="1:10" s="8" customFormat="1" ht="21" customHeight="1" x14ac:dyDescent="0.25">
      <c r="A58" s="282"/>
      <c r="B58" s="290"/>
      <c r="C58" s="290"/>
      <c r="D58" s="290"/>
      <c r="E58" s="290"/>
      <c r="F58" s="290"/>
      <c r="G58" s="130">
        <v>203540.61</v>
      </c>
      <c r="H58" s="172">
        <v>7968.48</v>
      </c>
      <c r="I58" s="172" t="s">
        <v>225</v>
      </c>
      <c r="J58" s="292"/>
    </row>
    <row r="59" spans="1:10" s="8" customFormat="1" ht="21" customHeight="1" x14ac:dyDescent="0.25">
      <c r="A59" s="289" t="s">
        <v>175</v>
      </c>
      <c r="B59" s="289" t="s">
        <v>40</v>
      </c>
      <c r="C59" s="289">
        <f>19079.95+1643296</f>
        <v>1662375.95</v>
      </c>
      <c r="D59" s="289"/>
      <c r="E59" s="289" t="s">
        <v>177</v>
      </c>
      <c r="F59" s="289" t="s">
        <v>35</v>
      </c>
      <c r="G59" s="130">
        <v>33282.94</v>
      </c>
      <c r="H59" s="44">
        <v>244.96</v>
      </c>
      <c r="I59" s="59" t="s">
        <v>176</v>
      </c>
      <c r="J59" s="291">
        <f>C59-G59-G60-G61-G62-G63-G64-G65-G66-G67-G68-G69-G70-G71-G72-G73-G74-G75-G76-G77-H59-H60-H61-H62-H63-H64-H65-H66-H67-H68-H69-H70-H71-H72-H73-H74-H75-H76-H77</f>
        <v>3.0240698833949864E-10</v>
      </c>
    </row>
    <row r="60" spans="1:10" s="8" customFormat="1" ht="21" customHeight="1" x14ac:dyDescent="0.25">
      <c r="A60" s="290"/>
      <c r="B60" s="290"/>
      <c r="C60" s="290"/>
      <c r="D60" s="290"/>
      <c r="E60" s="290"/>
      <c r="F60" s="290"/>
      <c r="G60" s="130">
        <v>80292.02</v>
      </c>
      <c r="H60" s="142">
        <v>1891.38</v>
      </c>
      <c r="I60" s="138" t="s">
        <v>188</v>
      </c>
      <c r="J60" s="292"/>
    </row>
    <row r="61" spans="1:10" s="8" customFormat="1" ht="21" customHeight="1" x14ac:dyDescent="0.25">
      <c r="A61" s="290"/>
      <c r="B61" s="290"/>
      <c r="C61" s="290"/>
      <c r="D61" s="290"/>
      <c r="E61" s="290"/>
      <c r="F61" s="290"/>
      <c r="G61" s="130">
        <v>121562.49</v>
      </c>
      <c r="H61" s="172">
        <v>704.71</v>
      </c>
      <c r="I61" s="170" t="s">
        <v>221</v>
      </c>
      <c r="J61" s="292"/>
    </row>
    <row r="62" spans="1:10" s="8" customFormat="1" ht="21" customHeight="1" x14ac:dyDescent="0.25">
      <c r="A62" s="290"/>
      <c r="B62" s="290"/>
      <c r="C62" s="290"/>
      <c r="D62" s="290"/>
      <c r="E62" s="290"/>
      <c r="F62" s="290"/>
      <c r="G62" s="130">
        <v>736.7</v>
      </c>
      <c r="H62" s="172">
        <v>0</v>
      </c>
      <c r="I62" s="170" t="s">
        <v>222</v>
      </c>
      <c r="J62" s="292"/>
    </row>
    <row r="63" spans="1:10" s="8" customFormat="1" ht="21" customHeight="1" x14ac:dyDescent="0.25">
      <c r="A63" s="290"/>
      <c r="B63" s="290"/>
      <c r="C63" s="290"/>
      <c r="D63" s="290"/>
      <c r="E63" s="290"/>
      <c r="F63" s="290"/>
      <c r="G63" s="130">
        <v>736.7</v>
      </c>
      <c r="H63" s="172">
        <v>0</v>
      </c>
      <c r="I63" s="170" t="s">
        <v>223</v>
      </c>
      <c r="J63" s="292"/>
    </row>
    <row r="64" spans="1:10" s="8" customFormat="1" ht="21" customHeight="1" x14ac:dyDescent="0.25">
      <c r="A64" s="290"/>
      <c r="B64" s="290"/>
      <c r="C64" s="290"/>
      <c r="D64" s="290"/>
      <c r="E64" s="290"/>
      <c r="F64" s="290"/>
      <c r="G64" s="130">
        <v>735.17</v>
      </c>
      <c r="H64" s="187">
        <v>1.53</v>
      </c>
      <c r="I64" s="185" t="s">
        <v>238</v>
      </c>
      <c r="J64" s="292"/>
    </row>
    <row r="65" spans="1:10" s="8" customFormat="1" ht="21" customHeight="1" x14ac:dyDescent="0.25">
      <c r="A65" s="290"/>
      <c r="B65" s="290"/>
      <c r="C65" s="290"/>
      <c r="D65" s="290"/>
      <c r="E65" s="290"/>
      <c r="F65" s="290"/>
      <c r="G65" s="130">
        <v>119870.35</v>
      </c>
      <c r="H65" s="187">
        <v>248.65</v>
      </c>
      <c r="I65" s="185" t="s">
        <v>238</v>
      </c>
      <c r="J65" s="292"/>
    </row>
    <row r="66" spans="1:10" s="8" customFormat="1" ht="21" customHeight="1" x14ac:dyDescent="0.25">
      <c r="A66" s="290"/>
      <c r="B66" s="290"/>
      <c r="C66" s="290"/>
      <c r="D66" s="290"/>
      <c r="E66" s="290"/>
      <c r="F66" s="290"/>
      <c r="G66" s="130">
        <v>1468.38</v>
      </c>
      <c r="H66" s="187">
        <v>5.0199999999999996</v>
      </c>
      <c r="I66" s="185" t="s">
        <v>239</v>
      </c>
      <c r="J66" s="292"/>
    </row>
    <row r="67" spans="1:10" s="8" customFormat="1" ht="21" customHeight="1" x14ac:dyDescent="0.25">
      <c r="A67" s="290"/>
      <c r="B67" s="290"/>
      <c r="C67" s="290"/>
      <c r="D67" s="290"/>
      <c r="E67" s="290"/>
      <c r="F67" s="290"/>
      <c r="G67" s="130">
        <v>174270.75</v>
      </c>
      <c r="H67" s="195">
        <v>1534.2</v>
      </c>
      <c r="I67" s="189" t="s">
        <v>242</v>
      </c>
      <c r="J67" s="292"/>
    </row>
    <row r="68" spans="1:10" s="8" customFormat="1" ht="21" customHeight="1" x14ac:dyDescent="0.25">
      <c r="A68" s="290"/>
      <c r="B68" s="290"/>
      <c r="C68" s="290"/>
      <c r="D68" s="290"/>
      <c r="E68" s="290"/>
      <c r="F68" s="290"/>
      <c r="G68" s="130">
        <v>731.95</v>
      </c>
      <c r="H68" s="195">
        <v>4.75</v>
      </c>
      <c r="I68" s="189" t="s">
        <v>243</v>
      </c>
      <c r="J68" s="292"/>
    </row>
    <row r="69" spans="1:10" s="8" customFormat="1" ht="21" customHeight="1" x14ac:dyDescent="0.25">
      <c r="A69" s="290"/>
      <c r="B69" s="290"/>
      <c r="C69" s="290"/>
      <c r="D69" s="290"/>
      <c r="E69" s="290"/>
      <c r="F69" s="290"/>
      <c r="G69" s="130">
        <v>177263.45</v>
      </c>
      <c r="H69" s="213">
        <v>0</v>
      </c>
      <c r="I69" s="211" t="s">
        <v>269</v>
      </c>
      <c r="J69" s="292"/>
    </row>
    <row r="70" spans="1:10" s="8" customFormat="1" ht="21" customHeight="1" x14ac:dyDescent="0.25">
      <c r="A70" s="290"/>
      <c r="B70" s="290"/>
      <c r="C70" s="290"/>
      <c r="D70" s="290"/>
      <c r="E70" s="290"/>
      <c r="F70" s="290"/>
      <c r="G70" s="130">
        <v>176533.25</v>
      </c>
      <c r="H70" s="221"/>
      <c r="I70" s="219" t="s">
        <v>277</v>
      </c>
      <c r="J70" s="292"/>
    </row>
    <row r="71" spans="1:10" s="8" customFormat="1" ht="21" customHeight="1" x14ac:dyDescent="0.25">
      <c r="A71" s="290"/>
      <c r="B71" s="290"/>
      <c r="C71" s="290"/>
      <c r="D71" s="290"/>
      <c r="E71" s="290"/>
      <c r="F71" s="290"/>
      <c r="G71" s="130">
        <v>951.05</v>
      </c>
      <c r="H71" s="213"/>
      <c r="I71" s="211" t="s">
        <v>278</v>
      </c>
      <c r="J71" s="292"/>
    </row>
    <row r="72" spans="1:10" s="8" customFormat="1" ht="21" customHeight="1" x14ac:dyDescent="0.25">
      <c r="A72" s="290"/>
      <c r="B72" s="290"/>
      <c r="C72" s="290"/>
      <c r="D72" s="290"/>
      <c r="E72" s="290"/>
      <c r="F72" s="290"/>
      <c r="G72" s="130">
        <v>174100</v>
      </c>
      <c r="H72" s="238"/>
      <c r="I72" s="236" t="s">
        <v>313</v>
      </c>
      <c r="J72" s="292"/>
    </row>
    <row r="73" spans="1:10" s="8" customFormat="1" ht="21" customHeight="1" x14ac:dyDescent="0.25">
      <c r="A73" s="290"/>
      <c r="B73" s="290"/>
      <c r="C73" s="290"/>
      <c r="D73" s="290"/>
      <c r="E73" s="290"/>
      <c r="F73" s="290"/>
      <c r="G73" s="130">
        <v>736.7</v>
      </c>
      <c r="H73" s="238"/>
      <c r="I73" s="236" t="s">
        <v>310</v>
      </c>
      <c r="J73" s="292"/>
    </row>
    <row r="74" spans="1:10" s="8" customFormat="1" ht="21" customHeight="1" x14ac:dyDescent="0.25">
      <c r="A74" s="290"/>
      <c r="B74" s="290"/>
      <c r="C74" s="290"/>
      <c r="D74" s="290"/>
      <c r="E74" s="290"/>
      <c r="F74" s="290"/>
      <c r="G74" s="130">
        <v>951.05</v>
      </c>
      <c r="H74" s="238"/>
      <c r="I74" s="236" t="s">
        <v>314</v>
      </c>
      <c r="J74" s="292"/>
    </row>
    <row r="75" spans="1:10" s="8" customFormat="1" ht="21" customHeight="1" x14ac:dyDescent="0.25">
      <c r="A75" s="290"/>
      <c r="B75" s="290"/>
      <c r="C75" s="290"/>
      <c r="D75" s="290"/>
      <c r="E75" s="290"/>
      <c r="F75" s="290"/>
      <c r="G75" s="130">
        <v>522.35</v>
      </c>
      <c r="H75" s="244"/>
      <c r="I75" s="236" t="s">
        <v>324</v>
      </c>
      <c r="J75" s="292"/>
    </row>
    <row r="76" spans="1:10" s="8" customFormat="1" ht="21" customHeight="1" x14ac:dyDescent="0.25">
      <c r="A76" s="290"/>
      <c r="B76" s="290"/>
      <c r="C76" s="290"/>
      <c r="D76" s="290"/>
      <c r="E76" s="290"/>
      <c r="F76" s="290"/>
      <c r="G76" s="130">
        <v>187705.09</v>
      </c>
      <c r="H76" s="244"/>
      <c r="I76" s="236" t="s">
        <v>320</v>
      </c>
      <c r="J76" s="292"/>
    </row>
    <row r="77" spans="1:10" s="8" customFormat="1" ht="21" customHeight="1" x14ac:dyDescent="0.25">
      <c r="A77" s="300"/>
      <c r="B77" s="300"/>
      <c r="C77" s="300"/>
      <c r="D77" s="300"/>
      <c r="E77" s="300"/>
      <c r="F77" s="300"/>
      <c r="G77" s="130">
        <v>405290.36</v>
      </c>
      <c r="H77" s="244"/>
      <c r="I77" s="236" t="s">
        <v>370</v>
      </c>
      <c r="J77" s="301"/>
    </row>
    <row r="78" spans="1:10" ht="23.25" customHeight="1" x14ac:dyDescent="0.25">
      <c r="A78" s="289" t="s">
        <v>178</v>
      </c>
      <c r="B78" s="289" t="s">
        <v>55</v>
      </c>
      <c r="C78" s="289">
        <v>305250</v>
      </c>
      <c r="D78" s="289"/>
      <c r="E78" s="289" t="s">
        <v>167</v>
      </c>
      <c r="F78" s="289" t="s">
        <v>30</v>
      </c>
      <c r="G78" s="130">
        <v>25397.59</v>
      </c>
      <c r="H78" s="59">
        <v>1029.9100000000001</v>
      </c>
      <c r="I78" s="59" t="s">
        <v>179</v>
      </c>
      <c r="J78" s="302">
        <f>C78-G78-H78-G79-H79-G80-H80-G81-H81-G82-H82-G83-H83-G84-H84-G85-H85-G86-H86-G87</f>
        <v>0</v>
      </c>
    </row>
    <row r="79" spans="1:10" ht="23.25" customHeight="1" x14ac:dyDescent="0.25">
      <c r="A79" s="290"/>
      <c r="B79" s="290"/>
      <c r="C79" s="290"/>
      <c r="D79" s="290"/>
      <c r="E79" s="290"/>
      <c r="F79" s="290"/>
      <c r="G79" s="130">
        <v>19189.759999999998</v>
      </c>
      <c r="H79" s="172">
        <v>665.24</v>
      </c>
      <c r="I79" s="172" t="s">
        <v>219</v>
      </c>
      <c r="J79" s="303"/>
    </row>
    <row r="80" spans="1:10" ht="23.25" customHeight="1" x14ac:dyDescent="0.25">
      <c r="A80" s="290"/>
      <c r="B80" s="290"/>
      <c r="C80" s="290"/>
      <c r="D80" s="290"/>
      <c r="E80" s="290"/>
      <c r="F80" s="290"/>
      <c r="G80" s="130">
        <v>24286.98</v>
      </c>
      <c r="H80" s="172">
        <v>958.02</v>
      </c>
      <c r="I80" s="172" t="s">
        <v>220</v>
      </c>
      <c r="J80" s="303"/>
    </row>
    <row r="81" spans="1:13" ht="23.25" customHeight="1" x14ac:dyDescent="0.25">
      <c r="A81" s="290"/>
      <c r="B81" s="290"/>
      <c r="C81" s="290"/>
      <c r="D81" s="290"/>
      <c r="E81" s="290"/>
      <c r="F81" s="290"/>
      <c r="G81" s="130">
        <v>22908.32</v>
      </c>
      <c r="H81" s="195">
        <v>892.93</v>
      </c>
      <c r="I81" s="195" t="s">
        <v>241</v>
      </c>
      <c r="J81" s="303"/>
    </row>
    <row r="82" spans="1:13" ht="23.25" customHeight="1" x14ac:dyDescent="0.25">
      <c r="A82" s="290"/>
      <c r="B82" s="290"/>
      <c r="C82" s="290"/>
      <c r="D82" s="290"/>
      <c r="E82" s="290"/>
      <c r="F82" s="290"/>
      <c r="G82" s="130">
        <v>25143.01</v>
      </c>
      <c r="H82" s="213">
        <v>797.74</v>
      </c>
      <c r="I82" s="213" t="s">
        <v>269</v>
      </c>
      <c r="J82" s="303"/>
    </row>
    <row r="83" spans="1:13" ht="23.25" customHeight="1" x14ac:dyDescent="0.25">
      <c r="A83" s="290"/>
      <c r="B83" s="290"/>
      <c r="C83" s="290"/>
      <c r="D83" s="290"/>
      <c r="E83" s="290"/>
      <c r="F83" s="290"/>
      <c r="G83" s="130">
        <v>27159</v>
      </c>
      <c r="H83" s="221"/>
      <c r="I83" s="221" t="s">
        <v>276</v>
      </c>
      <c r="J83" s="303"/>
    </row>
    <row r="84" spans="1:13" ht="23.25" customHeight="1" x14ac:dyDescent="0.25">
      <c r="A84" s="290"/>
      <c r="B84" s="290"/>
      <c r="C84" s="290"/>
      <c r="D84" s="290"/>
      <c r="E84" s="290"/>
      <c r="F84" s="290"/>
      <c r="G84" s="130">
        <v>25588.75</v>
      </c>
      <c r="H84" s="238"/>
      <c r="I84" s="238" t="s">
        <v>313</v>
      </c>
      <c r="J84" s="303"/>
    </row>
    <row r="85" spans="1:13" ht="23.25" customHeight="1" x14ac:dyDescent="0.25">
      <c r="A85" s="290"/>
      <c r="B85" s="290"/>
      <c r="C85" s="290"/>
      <c r="D85" s="290"/>
      <c r="E85" s="290"/>
      <c r="F85" s="290"/>
      <c r="G85" s="130">
        <v>25440.25</v>
      </c>
      <c r="H85" s="244"/>
      <c r="I85" s="244" t="s">
        <v>325</v>
      </c>
      <c r="J85" s="303"/>
    </row>
    <row r="86" spans="1:13" ht="23.25" customHeight="1" x14ac:dyDescent="0.25">
      <c r="A86" s="290"/>
      <c r="B86" s="290"/>
      <c r="C86" s="290"/>
      <c r="D86" s="290"/>
      <c r="E86" s="290"/>
      <c r="F86" s="290"/>
      <c r="G86" s="130">
        <v>24296.25</v>
      </c>
      <c r="H86" s="244"/>
      <c r="I86" s="244" t="s">
        <v>326</v>
      </c>
      <c r="J86" s="303"/>
    </row>
    <row r="87" spans="1:13" ht="23.25" customHeight="1" x14ac:dyDescent="0.25">
      <c r="A87" s="300"/>
      <c r="B87" s="300"/>
      <c r="C87" s="300"/>
      <c r="D87" s="300"/>
      <c r="E87" s="300"/>
      <c r="F87" s="300"/>
      <c r="G87" s="130">
        <v>81496.25</v>
      </c>
      <c r="H87" s="257"/>
      <c r="I87" s="257" t="s">
        <v>369</v>
      </c>
      <c r="J87" s="304"/>
    </row>
    <row r="88" spans="1:13" ht="23.25" customHeight="1" x14ac:dyDescent="0.25">
      <c r="A88" s="293" t="s">
        <v>185</v>
      </c>
      <c r="B88" s="293" t="s">
        <v>186</v>
      </c>
      <c r="C88" s="293">
        <v>976500</v>
      </c>
      <c r="D88" s="293"/>
      <c r="E88" s="293" t="s">
        <v>187</v>
      </c>
      <c r="F88" s="293" t="s">
        <v>33</v>
      </c>
      <c r="G88" s="413">
        <v>44226</v>
      </c>
      <c r="H88" s="257">
        <v>0</v>
      </c>
      <c r="I88" s="257" t="s">
        <v>238</v>
      </c>
      <c r="J88" s="316">
        <v>0</v>
      </c>
    </row>
    <row r="89" spans="1:13" ht="23.25" customHeight="1" x14ac:dyDescent="0.25">
      <c r="A89" s="293"/>
      <c r="B89" s="293"/>
      <c r="C89" s="293"/>
      <c r="D89" s="293"/>
      <c r="E89" s="293"/>
      <c r="F89" s="293"/>
      <c r="G89" s="413">
        <v>115865.23</v>
      </c>
      <c r="H89" s="257">
        <v>189.74</v>
      </c>
      <c r="I89" s="257" t="s">
        <v>242</v>
      </c>
      <c r="J89" s="317"/>
    </row>
    <row r="90" spans="1:13" ht="23.25" customHeight="1" x14ac:dyDescent="0.25">
      <c r="A90" s="293"/>
      <c r="B90" s="293"/>
      <c r="C90" s="293"/>
      <c r="D90" s="293"/>
      <c r="E90" s="293"/>
      <c r="F90" s="293"/>
      <c r="G90" s="413">
        <v>116280</v>
      </c>
      <c r="H90" s="257">
        <v>0</v>
      </c>
      <c r="I90" s="257" t="s">
        <v>266</v>
      </c>
      <c r="J90" s="317"/>
    </row>
    <row r="91" spans="1:13" ht="23.25" customHeight="1" x14ac:dyDescent="0.25">
      <c r="A91" s="293"/>
      <c r="B91" s="293"/>
      <c r="C91" s="293"/>
      <c r="D91" s="293"/>
      <c r="E91" s="293"/>
      <c r="F91" s="293"/>
      <c r="G91" s="413">
        <v>123255</v>
      </c>
      <c r="H91" s="257"/>
      <c r="I91" s="257" t="s">
        <v>277</v>
      </c>
      <c r="J91" s="317"/>
    </row>
    <row r="92" spans="1:13" ht="23.25" customHeight="1" x14ac:dyDescent="0.25">
      <c r="A92" s="293"/>
      <c r="B92" s="293"/>
      <c r="C92" s="293"/>
      <c r="D92" s="293"/>
      <c r="E92" s="293"/>
      <c r="F92" s="293"/>
      <c r="G92" s="413">
        <v>128385</v>
      </c>
      <c r="H92" s="257"/>
      <c r="I92" s="257" t="s">
        <v>315</v>
      </c>
      <c r="J92" s="317"/>
    </row>
    <row r="93" spans="1:13" ht="23.25" customHeight="1" x14ac:dyDescent="0.25">
      <c r="A93" s="293"/>
      <c r="B93" s="293"/>
      <c r="C93" s="293"/>
      <c r="D93" s="293"/>
      <c r="E93" s="293"/>
      <c r="F93" s="293"/>
      <c r="G93" s="413">
        <v>123219</v>
      </c>
      <c r="H93" s="257"/>
      <c r="I93" s="257" t="s">
        <v>327</v>
      </c>
      <c r="J93" s="317"/>
    </row>
    <row r="94" spans="1:13" ht="23.25" customHeight="1" x14ac:dyDescent="0.25">
      <c r="A94" s="293"/>
      <c r="B94" s="293"/>
      <c r="C94" s="293"/>
      <c r="D94" s="293"/>
      <c r="E94" s="293"/>
      <c r="F94" s="293"/>
      <c r="G94" s="413">
        <v>129474</v>
      </c>
      <c r="H94" s="257"/>
      <c r="I94" s="257" t="s">
        <v>368</v>
      </c>
      <c r="J94" s="317"/>
    </row>
    <row r="95" spans="1:13" ht="23.25" customHeight="1" x14ac:dyDescent="0.25">
      <c r="A95" s="293"/>
      <c r="B95" s="293"/>
      <c r="C95" s="293"/>
      <c r="D95" s="293"/>
      <c r="E95" s="293"/>
      <c r="F95" s="293"/>
      <c r="G95" s="130">
        <v>126324</v>
      </c>
      <c r="H95" s="265"/>
      <c r="I95" s="265" t="s">
        <v>373</v>
      </c>
      <c r="J95" s="361"/>
    </row>
    <row r="96" spans="1:13" ht="25.5" customHeight="1" x14ac:dyDescent="0.25">
      <c r="A96" s="199"/>
      <c r="C96" s="34">
        <f>SUM(C17:C91)</f>
        <v>18092996.780000001</v>
      </c>
      <c r="G96" s="91">
        <f>SUM(G17:G95)</f>
        <v>17575560.079999991</v>
      </c>
      <c r="H96" s="91">
        <f>SUM(H17:H92)</f>
        <v>446777.86000000004</v>
      </c>
      <c r="I96" s="91">
        <f t="shared" ref="I96" si="0">SUM(I17:I92)</f>
        <v>0</v>
      </c>
      <c r="J96" s="91">
        <f>SUM(J17:J93)</f>
        <v>10911.380000000278</v>
      </c>
      <c r="K96" s="91"/>
      <c r="L96" s="91"/>
      <c r="M96" s="91"/>
    </row>
    <row r="97" spans="7:7" x14ac:dyDescent="0.25">
      <c r="G97" s="34"/>
    </row>
  </sheetData>
  <mergeCells count="59">
    <mergeCell ref="J88:J95"/>
    <mergeCell ref="A88:A95"/>
    <mergeCell ref="C88:C95"/>
    <mergeCell ref="D88:D95"/>
    <mergeCell ref="E88:E95"/>
    <mergeCell ref="F88:F95"/>
    <mergeCell ref="J78:J87"/>
    <mergeCell ref="A78:A87"/>
    <mergeCell ref="B78:B87"/>
    <mergeCell ref="C78:C87"/>
    <mergeCell ref="D78:D87"/>
    <mergeCell ref="E78:E87"/>
    <mergeCell ref="F78:F87"/>
    <mergeCell ref="B88:B95"/>
    <mergeCell ref="A34:A44"/>
    <mergeCell ref="C59:C77"/>
    <mergeCell ref="D59:D77"/>
    <mergeCell ref="E59:E77"/>
    <mergeCell ref="F59:F77"/>
    <mergeCell ref="A45:A53"/>
    <mergeCell ref="B45:B53"/>
    <mergeCell ref="C45:C53"/>
    <mergeCell ref="D45:D53"/>
    <mergeCell ref="E45:E53"/>
    <mergeCell ref="F45:F53"/>
    <mergeCell ref="J45:J53"/>
    <mergeCell ref="F34:F44"/>
    <mergeCell ref="A59:A77"/>
    <mergeCell ref="B59:B77"/>
    <mergeCell ref="J59:J77"/>
    <mergeCell ref="D9:D11"/>
    <mergeCell ref="E9:E11"/>
    <mergeCell ref="F9:F11"/>
    <mergeCell ref="J9:J11"/>
    <mergeCell ref="J17:J33"/>
    <mergeCell ref="D17:D33"/>
    <mergeCell ref="E17:E33"/>
    <mergeCell ref="A15:J15"/>
    <mergeCell ref="F17:F33"/>
    <mergeCell ref="C17:C33"/>
    <mergeCell ref="B34:B44"/>
    <mergeCell ref="C34:C44"/>
    <mergeCell ref="D34:D44"/>
    <mergeCell ref="E34:E44"/>
    <mergeCell ref="J34:J44"/>
    <mergeCell ref="A2:J2"/>
    <mergeCell ref="A4:J4"/>
    <mergeCell ref="E54:E58"/>
    <mergeCell ref="D54:D58"/>
    <mergeCell ref="F54:F58"/>
    <mergeCell ref="J54:J58"/>
    <mergeCell ref="A9:A11"/>
    <mergeCell ref="B9:B11"/>
    <mergeCell ref="C9:C11"/>
    <mergeCell ref="A54:A58"/>
    <mergeCell ref="B54:B58"/>
    <mergeCell ref="C54:C58"/>
    <mergeCell ref="A17:A33"/>
    <mergeCell ref="B17:B3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opLeftCell="A25" workbookViewId="0">
      <selection activeCell="L15" sqref="L15"/>
    </sheetView>
  </sheetViews>
  <sheetFormatPr defaultRowHeight="15" x14ac:dyDescent="0.25"/>
  <cols>
    <col min="1" max="1" width="27.85546875" style="9" customWidth="1"/>
    <col min="2" max="2" width="18.85546875" style="10" customWidth="1"/>
    <col min="3" max="3" width="17.140625" style="9" customWidth="1"/>
    <col min="4" max="4" width="15.5703125" style="46" customWidth="1"/>
    <col min="5" max="5" width="25.7109375" style="9" customWidth="1"/>
    <col min="6" max="6" width="15.7109375" style="9" customWidth="1"/>
    <col min="7" max="7" width="19.5703125" style="9" customWidth="1"/>
    <col min="8" max="8" width="16" style="9" customWidth="1"/>
    <col min="9" max="9" width="27.42578125" style="97" customWidth="1"/>
    <col min="10" max="10" width="18.140625" style="9" customWidth="1"/>
    <col min="11" max="11" width="20.28515625" style="9" customWidth="1"/>
    <col min="12" max="12" width="26.7109375" style="9" customWidth="1"/>
    <col min="13" max="13" width="17" style="9" customWidth="1"/>
    <col min="14" max="16384" width="9.140625" style="9"/>
  </cols>
  <sheetData>
    <row r="2" spans="1:14" x14ac:dyDescent="0.25">
      <c r="F2" s="51"/>
    </row>
    <row r="3" spans="1:14" ht="29.25" customHeight="1" x14ac:dyDescent="0.25">
      <c r="A3" s="314" t="s">
        <v>19</v>
      </c>
      <c r="B3" s="314"/>
      <c r="C3" s="314"/>
      <c r="D3" s="314"/>
      <c r="E3" s="314"/>
      <c r="F3" s="314"/>
      <c r="G3" s="314"/>
      <c r="H3" s="314"/>
    </row>
    <row r="4" spans="1:14" ht="18.75" customHeight="1" x14ac:dyDescent="0.25"/>
    <row r="5" spans="1:14" ht="27.75" customHeight="1" x14ac:dyDescent="0.25">
      <c r="A5" s="315" t="s">
        <v>20</v>
      </c>
      <c r="B5" s="315"/>
      <c r="C5" s="315"/>
      <c r="D5" s="315"/>
      <c r="E5" s="315"/>
      <c r="F5" s="315"/>
      <c r="G5" s="315"/>
      <c r="H5" s="315"/>
      <c r="I5" s="315"/>
    </row>
    <row r="6" spans="1:14" ht="30" customHeight="1" x14ac:dyDescent="0.25">
      <c r="J6" s="47" t="s">
        <v>47</v>
      </c>
      <c r="K6" s="47" t="s">
        <v>48</v>
      </c>
      <c r="L6" s="47" t="s">
        <v>49</v>
      </c>
      <c r="M6" s="143" t="s">
        <v>83</v>
      </c>
    </row>
    <row r="7" spans="1:14" ht="52.5" customHeight="1" x14ac:dyDescent="0.25">
      <c r="A7" s="2" t="s">
        <v>0</v>
      </c>
      <c r="B7" s="4" t="s">
        <v>11</v>
      </c>
      <c r="C7" s="4" t="s">
        <v>14</v>
      </c>
      <c r="D7" s="4" t="s">
        <v>50</v>
      </c>
      <c r="E7" s="4" t="s">
        <v>2</v>
      </c>
      <c r="F7" s="4" t="s">
        <v>17</v>
      </c>
      <c r="G7" s="4" t="s">
        <v>144</v>
      </c>
      <c r="H7" s="4" t="s">
        <v>4</v>
      </c>
      <c r="I7" s="69" t="s">
        <v>16</v>
      </c>
      <c r="J7" s="16">
        <v>10216500</v>
      </c>
      <c r="K7" s="16">
        <f>F28+I28</f>
        <v>8718701.5400000028</v>
      </c>
      <c r="L7" s="16">
        <v>265720</v>
      </c>
      <c r="M7" s="16">
        <f>J7-K7-L7</f>
        <v>1232078.4599999972</v>
      </c>
    </row>
    <row r="8" spans="1:14" s="8" customFormat="1" ht="24.75" customHeight="1" x14ac:dyDescent="0.25">
      <c r="A8" s="318" t="s">
        <v>127</v>
      </c>
      <c r="B8" s="320" t="s">
        <v>46</v>
      </c>
      <c r="C8" s="322" t="s">
        <v>128</v>
      </c>
      <c r="D8" s="324">
        <f>1945014*3.1</f>
        <v>6029543.4000000004</v>
      </c>
      <c r="E8" s="322" t="s">
        <v>129</v>
      </c>
      <c r="F8" s="129">
        <v>820401.75</v>
      </c>
      <c r="G8" s="131">
        <v>268500</v>
      </c>
      <c r="H8" s="39" t="s">
        <v>145</v>
      </c>
      <c r="I8" s="316">
        <v>0</v>
      </c>
      <c r="J8" s="38"/>
    </row>
    <row r="9" spans="1:14" s="8" customFormat="1" ht="24.75" customHeight="1" x14ac:dyDescent="0.25">
      <c r="A9" s="319"/>
      <c r="B9" s="321"/>
      <c r="C9" s="323"/>
      <c r="D9" s="325"/>
      <c r="E9" s="323"/>
      <c r="F9" s="129">
        <v>538934.17000000004</v>
      </c>
      <c r="G9" s="131">
        <v>179537</v>
      </c>
      <c r="H9" s="82" t="s">
        <v>161</v>
      </c>
      <c r="I9" s="317"/>
      <c r="J9" s="38"/>
      <c r="L9" s="52"/>
      <c r="M9" s="53"/>
      <c r="N9" s="55"/>
    </row>
    <row r="10" spans="1:14" s="8" customFormat="1" ht="24.75" customHeight="1" x14ac:dyDescent="0.25">
      <c r="A10" s="319"/>
      <c r="B10" s="321"/>
      <c r="C10" s="323"/>
      <c r="D10" s="325"/>
      <c r="E10" s="323"/>
      <c r="F10" s="129">
        <v>1917057.78</v>
      </c>
      <c r="G10" s="131">
        <v>645474</v>
      </c>
      <c r="H10" s="39" t="s">
        <v>188</v>
      </c>
      <c r="I10" s="317"/>
      <c r="J10" s="38"/>
      <c r="L10" s="52"/>
      <c r="M10" s="53"/>
      <c r="N10" s="55"/>
    </row>
    <row r="11" spans="1:14" s="8" customFormat="1" ht="24.75" customHeight="1" x14ac:dyDescent="0.25">
      <c r="A11" s="319"/>
      <c r="B11" s="321"/>
      <c r="C11" s="323"/>
      <c r="D11" s="325"/>
      <c r="E11" s="323"/>
      <c r="F11" s="122">
        <v>1016457.07</v>
      </c>
      <c r="G11" s="131">
        <v>356389</v>
      </c>
      <c r="H11" s="39" t="s">
        <v>232</v>
      </c>
      <c r="I11" s="317"/>
      <c r="J11" s="38"/>
      <c r="L11" s="52"/>
      <c r="M11" s="53"/>
      <c r="N11" s="55"/>
    </row>
    <row r="12" spans="1:14" s="8" customFormat="1" ht="24.75" customHeight="1" x14ac:dyDescent="0.25">
      <c r="A12" s="319"/>
      <c r="B12" s="321"/>
      <c r="C12" s="323"/>
      <c r="D12" s="325"/>
      <c r="E12" s="323"/>
      <c r="F12" s="122">
        <v>205569.79</v>
      </c>
      <c r="G12" s="131">
        <v>72172.800000000003</v>
      </c>
      <c r="H12" s="39" t="s">
        <v>240</v>
      </c>
      <c r="I12" s="317"/>
      <c r="J12" s="38"/>
      <c r="L12" s="52"/>
      <c r="M12" s="53"/>
      <c r="N12" s="55"/>
    </row>
    <row r="13" spans="1:14" s="8" customFormat="1" ht="24.75" customHeight="1" x14ac:dyDescent="0.25">
      <c r="A13" s="319"/>
      <c r="B13" s="321"/>
      <c r="C13" s="323"/>
      <c r="D13" s="325"/>
      <c r="E13" s="323"/>
      <c r="F13" s="122">
        <v>199270.21</v>
      </c>
      <c r="G13" s="131">
        <v>66319.5</v>
      </c>
      <c r="H13" s="39" t="s">
        <v>263</v>
      </c>
      <c r="I13" s="317"/>
      <c r="J13" s="38"/>
      <c r="L13" s="52"/>
      <c r="M13" s="53"/>
      <c r="N13" s="55"/>
    </row>
    <row r="14" spans="1:14" s="8" customFormat="1" ht="24.75" customHeight="1" x14ac:dyDescent="0.25">
      <c r="A14" s="319"/>
      <c r="B14" s="321"/>
      <c r="C14" s="323"/>
      <c r="D14" s="325"/>
      <c r="E14" s="323"/>
      <c r="F14" s="122">
        <v>1090477.8400000001</v>
      </c>
      <c r="G14" s="131">
        <v>356621.7</v>
      </c>
      <c r="H14" s="39" t="s">
        <v>272</v>
      </c>
      <c r="I14" s="317"/>
      <c r="J14" s="38"/>
      <c r="L14" s="52"/>
      <c r="M14" s="53"/>
      <c r="N14" s="55"/>
    </row>
    <row r="15" spans="1:14" s="8" customFormat="1" ht="30.75" customHeight="1" x14ac:dyDescent="0.25">
      <c r="A15" s="326" t="s">
        <v>120</v>
      </c>
      <c r="B15" s="308" t="s">
        <v>43</v>
      </c>
      <c r="C15" s="308" t="s">
        <v>119</v>
      </c>
      <c r="D15" s="308">
        <f>900875*2.5</f>
        <v>2252187.5</v>
      </c>
      <c r="E15" s="308" t="s">
        <v>44</v>
      </c>
      <c r="F15" s="129">
        <v>369555</v>
      </c>
      <c r="G15" s="79">
        <v>150000</v>
      </c>
      <c r="H15" s="95" t="s">
        <v>137</v>
      </c>
      <c r="I15" s="311">
        <f>(900875-G15-G16-G17)*2.7</f>
        <v>0</v>
      </c>
      <c r="L15" s="52"/>
      <c r="M15" s="53"/>
      <c r="N15" s="54"/>
    </row>
    <row r="16" spans="1:14" s="8" customFormat="1" ht="28.5" customHeight="1" x14ac:dyDescent="0.25">
      <c r="A16" s="327"/>
      <c r="B16" s="309"/>
      <c r="C16" s="309"/>
      <c r="D16" s="309"/>
      <c r="E16" s="309"/>
      <c r="F16" s="129">
        <v>1015451.25</v>
      </c>
      <c r="G16" s="139">
        <v>412500</v>
      </c>
      <c r="H16" s="95" t="s">
        <v>199</v>
      </c>
      <c r="I16" s="312"/>
      <c r="L16" s="126"/>
      <c r="M16" s="127"/>
      <c r="N16" s="128"/>
    </row>
    <row r="17" spans="1:14" s="8" customFormat="1" ht="27" customHeight="1" x14ac:dyDescent="0.25">
      <c r="A17" s="328"/>
      <c r="B17" s="310"/>
      <c r="C17" s="310"/>
      <c r="D17" s="310"/>
      <c r="E17" s="310"/>
      <c r="F17" s="129">
        <v>887422.28</v>
      </c>
      <c r="G17" s="218">
        <v>338375</v>
      </c>
      <c r="H17" s="220" t="s">
        <v>273</v>
      </c>
      <c r="I17" s="313"/>
      <c r="L17" s="126"/>
      <c r="M17" s="127"/>
      <c r="N17" s="128"/>
    </row>
    <row r="18" spans="1:14" s="8" customFormat="1" ht="44.25" customHeight="1" x14ac:dyDescent="0.25">
      <c r="A18" s="326" t="s">
        <v>121</v>
      </c>
      <c r="B18" s="308" t="s">
        <v>43</v>
      </c>
      <c r="C18" s="308" t="s">
        <v>122</v>
      </c>
      <c r="D18" s="308">
        <v>155570.14000000001</v>
      </c>
      <c r="E18" s="308" t="s">
        <v>44</v>
      </c>
      <c r="F18" s="129">
        <v>99628.85</v>
      </c>
      <c r="G18" s="120">
        <v>40733</v>
      </c>
      <c r="H18" s="95" t="s">
        <v>146</v>
      </c>
      <c r="I18" s="302">
        <f>63756-G18-G19</f>
        <v>0</v>
      </c>
      <c r="L18" s="126"/>
      <c r="M18" s="127"/>
      <c r="N18" s="128"/>
    </row>
    <row r="19" spans="1:14" s="8" customFormat="1" ht="44.25" customHeight="1" x14ac:dyDescent="0.25">
      <c r="A19" s="328"/>
      <c r="B19" s="310"/>
      <c r="C19" s="310"/>
      <c r="D19" s="310"/>
      <c r="E19" s="310"/>
      <c r="F19" s="129">
        <v>55941.29</v>
      </c>
      <c r="G19" s="132">
        <v>23023</v>
      </c>
      <c r="H19" s="95" t="s">
        <v>163</v>
      </c>
      <c r="I19" s="313"/>
      <c r="L19" s="126"/>
      <c r="M19" s="127"/>
      <c r="N19" s="128"/>
    </row>
    <row r="20" spans="1:14" s="8" customFormat="1" ht="24.75" customHeight="1" x14ac:dyDescent="0.25">
      <c r="A20" s="269" t="s">
        <v>164</v>
      </c>
      <c r="B20" s="275" t="s">
        <v>43</v>
      </c>
      <c r="C20" s="272" t="s">
        <v>118</v>
      </c>
      <c r="D20" s="329">
        <v>193862.36</v>
      </c>
      <c r="E20" s="272" t="s">
        <v>65</v>
      </c>
      <c r="F20" s="129">
        <v>32442.959999999999</v>
      </c>
      <c r="G20" s="56">
        <v>13200</v>
      </c>
      <c r="H20" s="95" t="s">
        <v>138</v>
      </c>
      <c r="I20" s="302">
        <f>79200-G20-G21</f>
        <v>0</v>
      </c>
    </row>
    <row r="21" spans="1:14" s="8" customFormat="1" ht="24.75" customHeight="1" x14ac:dyDescent="0.25">
      <c r="A21" s="271"/>
      <c r="B21" s="277"/>
      <c r="C21" s="274"/>
      <c r="D21" s="330"/>
      <c r="E21" s="274"/>
      <c r="F21" s="129">
        <v>161429.4</v>
      </c>
      <c r="G21" s="59">
        <v>66000</v>
      </c>
      <c r="H21" s="95" t="s">
        <v>146</v>
      </c>
      <c r="I21" s="304"/>
    </row>
    <row r="22" spans="1:14" s="8" customFormat="1" ht="24.75" customHeight="1" x14ac:dyDescent="0.25">
      <c r="A22" s="269" t="s">
        <v>116</v>
      </c>
      <c r="B22" s="275" t="s">
        <v>43</v>
      </c>
      <c r="C22" s="272" t="s">
        <v>117</v>
      </c>
      <c r="D22" s="329">
        <v>203190.35</v>
      </c>
      <c r="E22" s="272" t="s">
        <v>66</v>
      </c>
      <c r="F22" s="129">
        <v>27035.8</v>
      </c>
      <c r="G22" s="56">
        <v>11000</v>
      </c>
      <c r="H22" s="95" t="s">
        <v>138</v>
      </c>
      <c r="I22" s="302">
        <f>82500-G22-G23</f>
        <v>0</v>
      </c>
    </row>
    <row r="23" spans="1:14" s="8" customFormat="1" ht="24.75" customHeight="1" x14ac:dyDescent="0.25">
      <c r="A23" s="270"/>
      <c r="B23" s="276"/>
      <c r="C23" s="273"/>
      <c r="D23" s="330"/>
      <c r="E23" s="273"/>
      <c r="F23" s="129">
        <v>176154.55</v>
      </c>
      <c r="G23" s="59">
        <v>71500</v>
      </c>
      <c r="H23" s="95" t="s">
        <v>137</v>
      </c>
      <c r="I23" s="304"/>
    </row>
    <row r="24" spans="1:14" s="8" customFormat="1" ht="29.25" customHeight="1" x14ac:dyDescent="0.25">
      <c r="A24" s="269" t="s">
        <v>114</v>
      </c>
      <c r="B24" s="272" t="s">
        <v>43</v>
      </c>
      <c r="C24" s="272" t="s">
        <v>115</v>
      </c>
      <c r="D24" s="272">
        <v>35478.120000000003</v>
      </c>
      <c r="E24" s="272" t="s">
        <v>52</v>
      </c>
      <c r="F24" s="129">
        <v>14865.97</v>
      </c>
      <c r="G24" s="56">
        <v>6034</v>
      </c>
      <c r="H24" s="95" t="s">
        <v>137</v>
      </c>
      <c r="I24" s="302">
        <f>14654-G24-G25</f>
        <v>0</v>
      </c>
    </row>
    <row r="25" spans="1:14" s="8" customFormat="1" ht="24.75" customHeight="1" x14ac:dyDescent="0.25">
      <c r="A25" s="271"/>
      <c r="B25" s="274"/>
      <c r="C25" s="274"/>
      <c r="D25" s="274"/>
      <c r="E25" s="274"/>
      <c r="F25" s="129">
        <v>20612.150000000001</v>
      </c>
      <c r="G25" s="133">
        <v>8620</v>
      </c>
      <c r="H25" s="95" t="s">
        <v>165</v>
      </c>
      <c r="I25" s="304"/>
    </row>
    <row r="26" spans="1:14" s="8" customFormat="1" ht="24.75" customHeight="1" x14ac:dyDescent="0.25">
      <c r="A26" s="333" t="s">
        <v>125</v>
      </c>
      <c r="B26" s="334" t="s">
        <v>43</v>
      </c>
      <c r="C26" s="335" t="s">
        <v>124</v>
      </c>
      <c r="D26" s="336">
        <v>69993.429999999993</v>
      </c>
      <c r="E26" s="335" t="s">
        <v>123</v>
      </c>
      <c r="F26" s="129">
        <v>17670.79</v>
      </c>
      <c r="G26" s="59">
        <v>7140</v>
      </c>
      <c r="H26" s="95" t="s">
        <v>139</v>
      </c>
      <c r="I26" s="331">
        <f>28560-G26-G27</f>
        <v>0</v>
      </c>
    </row>
    <row r="27" spans="1:14" s="8" customFormat="1" ht="24.75" customHeight="1" x14ac:dyDescent="0.25">
      <c r="A27" s="333"/>
      <c r="B27" s="334"/>
      <c r="C27" s="335"/>
      <c r="D27" s="336"/>
      <c r="E27" s="335"/>
      <c r="F27" s="129">
        <v>52322.64</v>
      </c>
      <c r="G27" s="59">
        <v>21420</v>
      </c>
      <c r="H27" s="95" t="s">
        <v>140</v>
      </c>
      <c r="I27" s="331"/>
    </row>
    <row r="28" spans="1:14" ht="39" customHeight="1" x14ac:dyDescent="0.25">
      <c r="A28" s="58"/>
      <c r="D28" s="100">
        <f>SUM(D8:D27)</f>
        <v>8939825.2999999989</v>
      </c>
      <c r="F28" s="16">
        <f>SUM(F8:F27)</f>
        <v>8718701.5400000028</v>
      </c>
      <c r="G28" s="16"/>
      <c r="H28" s="16"/>
      <c r="I28" s="98">
        <f>SUM(I8:I27)</f>
        <v>0</v>
      </c>
      <c r="J28" s="16"/>
      <c r="K28" s="41"/>
    </row>
    <row r="29" spans="1:14" x14ac:dyDescent="0.25">
      <c r="F29" s="29"/>
      <c r="G29" s="29"/>
      <c r="H29" s="28"/>
    </row>
    <row r="30" spans="1:14" ht="45.75" customHeight="1" x14ac:dyDescent="0.25">
      <c r="A30" s="315" t="s">
        <v>21</v>
      </c>
      <c r="B30" s="315"/>
      <c r="C30" s="315"/>
      <c r="D30" s="315"/>
      <c r="E30" s="315"/>
      <c r="F30" s="315"/>
      <c r="G30" s="315"/>
      <c r="H30" s="315"/>
      <c r="I30" s="315"/>
    </row>
    <row r="32" spans="1:14" ht="52.5" customHeight="1" x14ac:dyDescent="0.25">
      <c r="A32" s="2" t="s">
        <v>0</v>
      </c>
      <c r="B32" s="4" t="s">
        <v>11</v>
      </c>
      <c r="C32" s="4" t="s">
        <v>14</v>
      </c>
      <c r="D32" s="4"/>
      <c r="E32" s="4" t="s">
        <v>2</v>
      </c>
      <c r="F32" s="4" t="s">
        <v>17</v>
      </c>
      <c r="G32" s="4"/>
      <c r="H32" s="4" t="s">
        <v>4</v>
      </c>
      <c r="I32" s="69" t="s">
        <v>16</v>
      </c>
      <c r="J32" s="16">
        <v>300000</v>
      </c>
      <c r="K32" s="16">
        <f>F36+I36</f>
        <v>272496.59999999998</v>
      </c>
      <c r="L32" s="16">
        <v>2003.4</v>
      </c>
      <c r="M32" s="16">
        <f>J32-K32-L32</f>
        <v>25500.000000000022</v>
      </c>
    </row>
    <row r="33" spans="1:10" ht="26.25" customHeight="1" x14ac:dyDescent="0.25">
      <c r="A33" s="337" t="s">
        <v>126</v>
      </c>
      <c r="B33" s="311" t="s">
        <v>79</v>
      </c>
      <c r="C33" s="311">
        <v>272496.59999999998</v>
      </c>
      <c r="D33" s="311">
        <v>272496.59999999998</v>
      </c>
      <c r="E33" s="289" t="s">
        <v>80</v>
      </c>
      <c r="F33" s="129">
        <v>57978</v>
      </c>
      <c r="G33" s="59"/>
      <c r="H33" s="64" t="s">
        <v>141</v>
      </c>
      <c r="I33" s="332">
        <f>D33-F33-F34-F35</f>
        <v>0</v>
      </c>
      <c r="J33" s="62"/>
    </row>
    <row r="34" spans="1:10" ht="26.25" customHeight="1" x14ac:dyDescent="0.25">
      <c r="A34" s="338"/>
      <c r="B34" s="312"/>
      <c r="C34" s="312"/>
      <c r="D34" s="312"/>
      <c r="E34" s="290"/>
      <c r="F34" s="129">
        <v>96630</v>
      </c>
      <c r="G34" s="133"/>
      <c r="H34" s="64" t="s">
        <v>162</v>
      </c>
      <c r="I34" s="303"/>
      <c r="J34" s="62"/>
    </row>
    <row r="35" spans="1:10" ht="26.25" customHeight="1" x14ac:dyDescent="0.25">
      <c r="A35" s="339"/>
      <c r="B35" s="313"/>
      <c r="C35" s="313"/>
      <c r="D35" s="313"/>
      <c r="E35" s="300"/>
      <c r="F35" s="129">
        <v>117888.6</v>
      </c>
      <c r="G35" s="133"/>
      <c r="H35" s="64" t="s">
        <v>274</v>
      </c>
      <c r="I35" s="304"/>
      <c r="J35" s="62"/>
    </row>
    <row r="36" spans="1:10" ht="34.5" customHeight="1" x14ac:dyDescent="0.25">
      <c r="C36" s="16">
        <f>SUM(C33:C35)</f>
        <v>272496.59999999998</v>
      </c>
      <c r="F36" s="16">
        <f>SUM(F33:F35)</f>
        <v>272496.59999999998</v>
      </c>
      <c r="G36" s="16">
        <f>SUM(G33:G35)</f>
        <v>0</v>
      </c>
      <c r="H36" s="16">
        <f>SUM(H33:H35)</f>
        <v>0</v>
      </c>
      <c r="I36" s="16">
        <f>SUM(I33:I35)</f>
        <v>0</v>
      </c>
    </row>
    <row r="37" spans="1:10" x14ac:dyDescent="0.25">
      <c r="J37" s="29"/>
    </row>
    <row r="39" spans="1:10" x14ac:dyDescent="0.25">
      <c r="F39" s="34"/>
      <c r="H39" s="42"/>
    </row>
    <row r="40" spans="1:10" x14ac:dyDescent="0.25">
      <c r="I40" s="97" t="s">
        <v>86</v>
      </c>
    </row>
  </sheetData>
  <autoFilter ref="A7:N28"/>
  <mergeCells count="51">
    <mergeCell ref="I24:I25"/>
    <mergeCell ref="I26:I27"/>
    <mergeCell ref="I33:I35"/>
    <mergeCell ref="D24:D25"/>
    <mergeCell ref="E24:E25"/>
    <mergeCell ref="A30:I30"/>
    <mergeCell ref="A26:A27"/>
    <mergeCell ref="B26:B27"/>
    <mergeCell ref="C26:C27"/>
    <mergeCell ref="D26:D27"/>
    <mergeCell ref="E26:E27"/>
    <mergeCell ref="A33:A35"/>
    <mergeCell ref="B33:B35"/>
    <mergeCell ref="C33:C35"/>
    <mergeCell ref="D33:D35"/>
    <mergeCell ref="E33:E35"/>
    <mergeCell ref="A20:A21"/>
    <mergeCell ref="B20:B21"/>
    <mergeCell ref="C20:C21"/>
    <mergeCell ref="A22:A23"/>
    <mergeCell ref="A18:A19"/>
    <mergeCell ref="B18:B19"/>
    <mergeCell ref="C18:C19"/>
    <mergeCell ref="D20:D21"/>
    <mergeCell ref="E20:E21"/>
    <mergeCell ref="I18:I19"/>
    <mergeCell ref="I20:I21"/>
    <mergeCell ref="I22:I23"/>
    <mergeCell ref="D22:D23"/>
    <mergeCell ref="E22:E23"/>
    <mergeCell ref="D18:D19"/>
    <mergeCell ref="E18:E19"/>
    <mergeCell ref="A24:A25"/>
    <mergeCell ref="B24:B25"/>
    <mergeCell ref="C24:C25"/>
    <mergeCell ref="B22:B23"/>
    <mergeCell ref="C22:C23"/>
    <mergeCell ref="C15:C17"/>
    <mergeCell ref="D15:D17"/>
    <mergeCell ref="E15:E17"/>
    <mergeCell ref="I15:I17"/>
    <mergeCell ref="A3:H3"/>
    <mergeCell ref="A5:I5"/>
    <mergeCell ref="I8:I14"/>
    <mergeCell ref="A8:A14"/>
    <mergeCell ref="B8:B14"/>
    <mergeCell ref="C8:C14"/>
    <mergeCell ref="D8:D14"/>
    <mergeCell ref="E8:E14"/>
    <mergeCell ref="A15:A17"/>
    <mergeCell ref="B15:B1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>
      <selection activeCell="A9" sqref="A9:A12"/>
    </sheetView>
  </sheetViews>
  <sheetFormatPr defaultRowHeight="15" x14ac:dyDescent="0.25"/>
  <cols>
    <col min="1" max="1" width="34.42578125" style="9" customWidth="1"/>
    <col min="2" max="2" width="22.7109375" style="9" customWidth="1"/>
    <col min="3" max="3" width="17.85546875" style="9" customWidth="1"/>
    <col min="4" max="4" width="20.28515625" style="9" customWidth="1"/>
    <col min="5" max="5" width="16.42578125" style="29" customWidth="1"/>
    <col min="6" max="6" width="16.42578125" style="9" customWidth="1"/>
    <col min="7" max="7" width="15.7109375" style="9" customWidth="1"/>
    <col min="8" max="8" width="20" style="9" customWidth="1"/>
    <col min="9" max="9" width="23.85546875" style="9" customWidth="1"/>
    <col min="10" max="10" width="22.7109375" style="9" customWidth="1"/>
    <col min="11" max="12" width="22.85546875" style="9" customWidth="1"/>
    <col min="13" max="16384" width="9.140625" style="9"/>
  </cols>
  <sheetData>
    <row r="2" spans="1:12" ht="18.75" x14ac:dyDescent="0.25">
      <c r="A2" s="314" t="s">
        <v>26</v>
      </c>
      <c r="B2" s="314"/>
      <c r="C2" s="314"/>
      <c r="D2" s="314"/>
      <c r="E2" s="314"/>
      <c r="F2" s="314"/>
      <c r="G2" s="314"/>
      <c r="H2" s="314"/>
    </row>
    <row r="4" spans="1:12" x14ac:dyDescent="0.25">
      <c r="A4" s="340" t="s">
        <v>5</v>
      </c>
      <c r="B4" s="340"/>
      <c r="C4" s="340"/>
      <c r="D4" s="340"/>
      <c r="E4" s="340"/>
      <c r="F4" s="340"/>
      <c r="G4" s="340"/>
      <c r="H4" s="340"/>
    </row>
    <row r="5" spans="1:12" x14ac:dyDescent="0.25">
      <c r="I5" s="47" t="s">
        <v>47</v>
      </c>
      <c r="J5" s="47" t="s">
        <v>48</v>
      </c>
      <c r="K5" s="47" t="s">
        <v>49</v>
      </c>
      <c r="L5" s="143" t="s">
        <v>83</v>
      </c>
    </row>
    <row r="6" spans="1:12" s="6" customFormat="1" ht="36" customHeight="1" x14ac:dyDescent="0.25">
      <c r="A6" s="2" t="s">
        <v>0</v>
      </c>
      <c r="B6" s="4" t="s">
        <v>11</v>
      </c>
      <c r="C6" s="4" t="s">
        <v>14</v>
      </c>
      <c r="D6" s="4" t="s">
        <v>2</v>
      </c>
      <c r="E6" s="69" t="s">
        <v>17</v>
      </c>
      <c r="F6" s="4" t="s">
        <v>51</v>
      </c>
      <c r="G6" s="4" t="s">
        <v>4</v>
      </c>
      <c r="H6" s="4" t="s">
        <v>16</v>
      </c>
      <c r="I6" s="13">
        <v>770000</v>
      </c>
      <c r="J6" s="13">
        <f>E14+H14</f>
        <v>138980.66</v>
      </c>
      <c r="K6" s="13">
        <v>384531.20000000001</v>
      </c>
      <c r="L6" s="13">
        <f>I6-J6-K6</f>
        <v>246488.13999999996</v>
      </c>
    </row>
    <row r="7" spans="1:12" s="1" customFormat="1" ht="26.25" customHeight="1" x14ac:dyDescent="0.25">
      <c r="A7" s="335" t="s">
        <v>235</v>
      </c>
      <c r="B7" s="335" t="s">
        <v>88</v>
      </c>
      <c r="C7" s="335" t="s">
        <v>206</v>
      </c>
      <c r="D7" s="335"/>
      <c r="E7" s="252">
        <v>54533.67</v>
      </c>
      <c r="F7" s="66">
        <v>17733.95</v>
      </c>
      <c r="G7" s="7" t="s">
        <v>141</v>
      </c>
      <c r="H7" s="272">
        <v>0</v>
      </c>
      <c r="K7" s="13">
        <v>307200</v>
      </c>
      <c r="L7" s="1" t="s">
        <v>237</v>
      </c>
    </row>
    <row r="8" spans="1:12" s="1" customFormat="1" ht="25.5" customHeight="1" x14ac:dyDescent="0.25">
      <c r="A8" s="335"/>
      <c r="B8" s="335"/>
      <c r="C8" s="335"/>
      <c r="D8" s="335"/>
      <c r="E8" s="252">
        <v>265.74</v>
      </c>
      <c r="F8" s="66">
        <v>88.32</v>
      </c>
      <c r="G8" s="7" t="s">
        <v>201</v>
      </c>
      <c r="H8" s="274"/>
    </row>
    <row r="9" spans="1:12" ht="30.75" customHeight="1" x14ac:dyDescent="0.25">
      <c r="A9" s="341" t="s">
        <v>236</v>
      </c>
      <c r="B9" s="341" t="s">
        <v>88</v>
      </c>
      <c r="C9" s="341" t="s">
        <v>216</v>
      </c>
      <c r="D9" s="341" t="s">
        <v>205</v>
      </c>
      <c r="E9" s="252">
        <v>81921.81</v>
      </c>
      <c r="F9" s="66">
        <v>27227.4</v>
      </c>
      <c r="G9" s="7" t="s">
        <v>201</v>
      </c>
      <c r="H9" s="344">
        <v>0</v>
      </c>
      <c r="I9" s="254"/>
    </row>
    <row r="10" spans="1:12" ht="30.75" customHeight="1" x14ac:dyDescent="0.25">
      <c r="A10" s="342"/>
      <c r="B10" s="342"/>
      <c r="C10" s="342"/>
      <c r="D10" s="342"/>
      <c r="E10" s="252">
        <v>127792.03</v>
      </c>
      <c r="F10" s="66">
        <v>43276.800000000003</v>
      </c>
      <c r="G10" s="7" t="s">
        <v>214</v>
      </c>
      <c r="H10" s="345"/>
      <c r="I10" s="254"/>
    </row>
    <row r="11" spans="1:12" ht="30.75" customHeight="1" x14ac:dyDescent="0.25">
      <c r="A11" s="342"/>
      <c r="B11" s="342"/>
      <c r="C11" s="342"/>
      <c r="D11" s="342"/>
      <c r="E11" s="252">
        <v>83625.17</v>
      </c>
      <c r="F11" s="66">
        <v>29021.4</v>
      </c>
      <c r="G11" s="7" t="s">
        <v>215</v>
      </c>
      <c r="H11" s="345"/>
      <c r="I11" s="254"/>
    </row>
    <row r="12" spans="1:12" ht="30.75" customHeight="1" x14ac:dyDescent="0.25">
      <c r="A12" s="343"/>
      <c r="B12" s="343"/>
      <c r="C12" s="343"/>
      <c r="D12" s="343"/>
      <c r="E12" s="252">
        <v>212.99</v>
      </c>
      <c r="F12" s="66">
        <v>69</v>
      </c>
      <c r="G12" s="7" t="s">
        <v>271</v>
      </c>
      <c r="H12" s="346"/>
      <c r="I12" s="254"/>
    </row>
    <row r="13" spans="1:12" ht="35.25" customHeight="1" x14ac:dyDescent="0.25">
      <c r="A13" s="141" t="s">
        <v>207</v>
      </c>
      <c r="B13" s="145" t="s">
        <v>200</v>
      </c>
      <c r="C13" s="140">
        <v>134998.79999999999</v>
      </c>
      <c r="D13" s="15" t="s">
        <v>208</v>
      </c>
      <c r="E13" s="252">
        <v>134597.59</v>
      </c>
      <c r="F13" s="88"/>
      <c r="G13" s="7" t="s">
        <v>182</v>
      </c>
      <c r="H13" s="206">
        <v>0</v>
      </c>
      <c r="I13" s="255"/>
    </row>
    <row r="14" spans="1:12" ht="43.5" customHeight="1" x14ac:dyDescent="0.25">
      <c r="A14" s="247" t="s">
        <v>328</v>
      </c>
      <c r="B14" s="145" t="s">
        <v>88</v>
      </c>
      <c r="C14" s="246" t="s">
        <v>329</v>
      </c>
      <c r="D14" s="15" t="s">
        <v>205</v>
      </c>
      <c r="E14" s="252">
        <v>138980.66</v>
      </c>
      <c r="F14" s="252">
        <v>45546.52</v>
      </c>
      <c r="G14" s="7"/>
      <c r="H14" s="206">
        <v>0</v>
      </c>
    </row>
    <row r="15" spans="1:12" x14ac:dyDescent="0.25">
      <c r="E15" s="253"/>
      <c r="F15" s="253">
        <f>93534.53-F14</f>
        <v>47988.01</v>
      </c>
      <c r="H15" s="260">
        <f>F15*3.05</f>
        <v>146363.43049999999</v>
      </c>
    </row>
    <row r="16" spans="1:12" x14ac:dyDescent="0.25">
      <c r="C16" s="9">
        <v>56500</v>
      </c>
      <c r="E16" s="253"/>
      <c r="F16" s="253"/>
      <c r="H16" s="9">
        <v>56500</v>
      </c>
    </row>
    <row r="17" spans="3:8" x14ac:dyDescent="0.25">
      <c r="E17" s="253"/>
      <c r="F17" s="253"/>
    </row>
    <row r="18" spans="3:8" ht="31.5" customHeight="1" x14ac:dyDescent="0.25">
      <c r="E18" s="100">
        <f>SUM(E7:E15)</f>
        <v>621929.66</v>
      </c>
      <c r="H18" s="260">
        <f>SUM(H15:H16)</f>
        <v>202863.43049999999</v>
      </c>
    </row>
    <row r="20" spans="3:8" x14ac:dyDescent="0.25">
      <c r="C20" s="52"/>
      <c r="D20" s="54"/>
      <c r="F20" s="29">
        <f>E18+H18</f>
        <v>824793.09050000005</v>
      </c>
    </row>
    <row r="21" spans="3:8" x14ac:dyDescent="0.25">
      <c r="C21" s="52"/>
      <c r="D21" s="54"/>
    </row>
  </sheetData>
  <mergeCells count="12">
    <mergeCell ref="A9:A12"/>
    <mergeCell ref="B9:B12"/>
    <mergeCell ref="C9:C12"/>
    <mergeCell ref="D9:D12"/>
    <mergeCell ref="H9:H12"/>
    <mergeCell ref="A2:H2"/>
    <mergeCell ref="A4:H4"/>
    <mergeCell ref="A7:A8"/>
    <mergeCell ref="B7:B8"/>
    <mergeCell ref="C7:C8"/>
    <mergeCell ref="D7:D8"/>
    <mergeCell ref="H7:H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topLeftCell="A16" zoomScaleNormal="100" workbookViewId="0">
      <selection activeCell="H45" sqref="H45"/>
    </sheetView>
  </sheetViews>
  <sheetFormatPr defaultRowHeight="15" x14ac:dyDescent="0.25"/>
  <cols>
    <col min="1" max="1" width="28.5703125" style="9" customWidth="1"/>
    <col min="2" max="2" width="18.85546875" style="9" customWidth="1"/>
    <col min="3" max="3" width="13.7109375" style="9" customWidth="1"/>
    <col min="4" max="4" width="13" style="9" customWidth="1"/>
    <col min="5" max="5" width="17.42578125" style="9" customWidth="1"/>
    <col min="6" max="6" width="30.28515625" style="10" customWidth="1"/>
    <col min="7" max="7" width="17.7109375" style="9" customWidth="1"/>
    <col min="8" max="8" width="15.28515625" style="9" customWidth="1"/>
    <col min="9" max="9" width="13.5703125" style="9" customWidth="1"/>
    <col min="10" max="10" width="13" style="9" customWidth="1"/>
    <col min="11" max="11" width="15.85546875" style="9" customWidth="1"/>
    <col min="12" max="12" width="21.28515625" style="31" customWidth="1"/>
    <col min="13" max="13" width="20.28515625" style="9" customWidth="1"/>
    <col min="14" max="14" width="23.7109375" style="148" customWidth="1"/>
    <col min="15" max="15" width="17.42578125" style="9" customWidth="1"/>
    <col min="16" max="16384" width="9.140625" style="9"/>
  </cols>
  <sheetData>
    <row r="2" spans="1:15" ht="18.75" x14ac:dyDescent="0.3">
      <c r="A2" s="287" t="s">
        <v>27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4" spans="1:15" x14ac:dyDescent="0.25">
      <c r="A4" s="375" t="s">
        <v>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</row>
    <row r="5" spans="1:15" ht="22.5" customHeight="1" x14ac:dyDescent="0.25">
      <c r="A5" s="375"/>
      <c r="B5" s="375"/>
      <c r="C5" s="375"/>
      <c r="D5" s="375"/>
      <c r="E5" s="375"/>
      <c r="F5" s="375"/>
      <c r="G5" s="375"/>
      <c r="H5" s="375"/>
      <c r="I5" s="375"/>
      <c r="J5" s="375"/>
      <c r="K5" s="375"/>
    </row>
    <row r="6" spans="1:15" ht="43.5" customHeight="1" x14ac:dyDescent="0.25">
      <c r="A6" s="375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147" t="s">
        <v>47</v>
      </c>
      <c r="M6" s="147" t="s">
        <v>48</v>
      </c>
      <c r="N6" s="149"/>
      <c r="O6" s="47"/>
    </row>
    <row r="8" spans="1:15" s="6" customFormat="1" ht="51" customHeight="1" x14ac:dyDescent="0.25">
      <c r="A8" s="80" t="s">
        <v>0</v>
      </c>
      <c r="B8" s="15" t="s">
        <v>11</v>
      </c>
      <c r="C8" s="80" t="s">
        <v>1</v>
      </c>
      <c r="D8" s="80" t="s">
        <v>82</v>
      </c>
      <c r="E8" s="80"/>
      <c r="F8" s="15" t="s">
        <v>2</v>
      </c>
      <c r="G8" s="15" t="s">
        <v>17</v>
      </c>
      <c r="H8" s="15" t="s">
        <v>18</v>
      </c>
      <c r="I8" s="15" t="s">
        <v>143</v>
      </c>
      <c r="J8" s="15" t="s">
        <v>4</v>
      </c>
      <c r="K8" s="15" t="s">
        <v>16</v>
      </c>
      <c r="L8" s="125">
        <v>4800000</v>
      </c>
      <c r="M8" s="43">
        <f>G34+K34</f>
        <v>5119737.3800000008</v>
      </c>
      <c r="N8" s="150">
        <v>72289.5</v>
      </c>
      <c r="O8" s="43">
        <f>L8-M8-N8</f>
        <v>-392026.88000000082</v>
      </c>
    </row>
    <row r="9" spans="1:15" s="1" customFormat="1" ht="30" customHeight="1" x14ac:dyDescent="0.25">
      <c r="A9" s="376" t="s">
        <v>95</v>
      </c>
      <c r="B9" s="341" t="s">
        <v>71</v>
      </c>
      <c r="C9" s="341">
        <v>327045.59999999998</v>
      </c>
      <c r="D9" s="341">
        <v>327045.59999999998</v>
      </c>
      <c r="E9" s="341" t="s">
        <v>101</v>
      </c>
      <c r="F9" s="381" t="s">
        <v>53</v>
      </c>
      <c r="G9" s="11">
        <v>53949.599999999999</v>
      </c>
      <c r="H9" s="142"/>
      <c r="I9" s="11">
        <v>558</v>
      </c>
      <c r="J9" s="7" t="s">
        <v>182</v>
      </c>
      <c r="K9" s="316">
        <f>D9-G9-G10-I9-I10-G11-I11-G12-I12</f>
        <v>0</v>
      </c>
      <c r="L9" s="33"/>
      <c r="N9" s="151"/>
    </row>
    <row r="10" spans="1:15" s="1" customFormat="1" ht="30" customHeight="1" x14ac:dyDescent="0.25">
      <c r="A10" s="377"/>
      <c r="B10" s="342"/>
      <c r="C10" s="342"/>
      <c r="D10" s="342"/>
      <c r="E10" s="342"/>
      <c r="F10" s="382"/>
      <c r="G10" s="133">
        <v>53053.2</v>
      </c>
      <c r="H10" s="142"/>
      <c r="I10" s="133">
        <v>1454.4</v>
      </c>
      <c r="J10" s="7" t="s">
        <v>89</v>
      </c>
      <c r="K10" s="317"/>
      <c r="L10" s="154"/>
      <c r="M10" s="22"/>
      <c r="N10" s="151"/>
    </row>
    <row r="11" spans="1:15" s="1" customFormat="1" ht="27" customHeight="1" x14ac:dyDescent="0.25">
      <c r="A11" s="377"/>
      <c r="B11" s="342"/>
      <c r="C11" s="342"/>
      <c r="D11" s="342"/>
      <c r="E11" s="342"/>
      <c r="F11" s="382"/>
      <c r="G11" s="176">
        <v>85608</v>
      </c>
      <c r="H11" s="176"/>
      <c r="I11" s="176">
        <v>5238</v>
      </c>
      <c r="J11" s="7" t="s">
        <v>218</v>
      </c>
      <c r="K11" s="317"/>
      <c r="L11" s="198">
        <f>G34+G44+G55+G62+G70+G77+G85</f>
        <v>7359625.6300000008</v>
      </c>
      <c r="M11" s="197">
        <f>K34+K44+K62+K70+K77+K85</f>
        <v>-8.8107299234252423E-13</v>
      </c>
      <c r="N11" s="151"/>
    </row>
    <row r="12" spans="1:15" s="1" customFormat="1" ht="27" customHeight="1" x14ac:dyDescent="0.25">
      <c r="A12" s="378"/>
      <c r="B12" s="343"/>
      <c r="C12" s="343"/>
      <c r="D12" s="343"/>
      <c r="E12" s="343"/>
      <c r="F12" s="383"/>
      <c r="G12" s="195">
        <v>120540</v>
      </c>
      <c r="H12" s="195"/>
      <c r="I12" s="195">
        <v>6644.4</v>
      </c>
      <c r="J12" s="7" t="s">
        <v>246</v>
      </c>
      <c r="K12" s="361"/>
      <c r="L12" s="198"/>
      <c r="M12" s="197"/>
      <c r="N12" s="151"/>
    </row>
    <row r="13" spans="1:15" s="1" customFormat="1" ht="24" customHeight="1" x14ac:dyDescent="0.25">
      <c r="A13" s="376" t="s">
        <v>94</v>
      </c>
      <c r="B13" s="341" t="s">
        <v>55</v>
      </c>
      <c r="C13" s="353">
        <v>141515.82</v>
      </c>
      <c r="D13" s="353">
        <v>141515.82</v>
      </c>
      <c r="E13" s="353" t="s">
        <v>100</v>
      </c>
      <c r="F13" s="379" t="s">
        <v>93</v>
      </c>
      <c r="G13" s="44">
        <v>34660.49</v>
      </c>
      <c r="H13" s="142"/>
      <c r="I13" s="44">
        <v>2337.11</v>
      </c>
      <c r="J13" s="59" t="s">
        <v>183</v>
      </c>
      <c r="K13" s="356">
        <f>D13-G13-I13-G14</f>
        <v>0</v>
      </c>
      <c r="L13" s="155"/>
      <c r="M13" s="22"/>
      <c r="N13" s="151"/>
    </row>
    <row r="14" spans="1:15" s="1" customFormat="1" ht="24" customHeight="1" x14ac:dyDescent="0.25">
      <c r="A14" s="377"/>
      <c r="B14" s="342"/>
      <c r="C14" s="354"/>
      <c r="D14" s="354"/>
      <c r="E14" s="354"/>
      <c r="F14" s="380"/>
      <c r="G14" s="44">
        <v>104518.22</v>
      </c>
      <c r="H14" s="142"/>
      <c r="I14" s="44"/>
      <c r="J14" s="59" t="s">
        <v>281</v>
      </c>
      <c r="K14" s="356"/>
      <c r="L14" s="155"/>
      <c r="M14" s="22"/>
      <c r="N14" s="151"/>
    </row>
    <row r="15" spans="1:15" s="1" customFormat="1" ht="24" customHeight="1" x14ac:dyDescent="0.25">
      <c r="A15" s="376" t="s">
        <v>96</v>
      </c>
      <c r="B15" s="341" t="s">
        <v>60</v>
      </c>
      <c r="C15" s="353">
        <v>1041831.63</v>
      </c>
      <c r="D15" s="353">
        <v>1041831.63</v>
      </c>
      <c r="E15" s="353" t="s">
        <v>100</v>
      </c>
      <c r="F15" s="297" t="s">
        <v>61</v>
      </c>
      <c r="G15" s="44">
        <v>278739.59999999998</v>
      </c>
      <c r="H15" s="142"/>
      <c r="I15" s="44">
        <v>4752</v>
      </c>
      <c r="J15" s="131" t="s">
        <v>152</v>
      </c>
      <c r="K15" s="356">
        <f>D15-G15-G16-G17-I15-I16-I17</f>
        <v>0</v>
      </c>
      <c r="L15" s="154"/>
      <c r="M15" s="22"/>
      <c r="N15" s="151"/>
    </row>
    <row r="16" spans="1:15" s="1" customFormat="1" ht="24" customHeight="1" x14ac:dyDescent="0.25">
      <c r="A16" s="377"/>
      <c r="B16" s="342"/>
      <c r="C16" s="354"/>
      <c r="D16" s="354"/>
      <c r="E16" s="354"/>
      <c r="F16" s="298"/>
      <c r="G16" s="44">
        <v>480517.82</v>
      </c>
      <c r="H16" s="142"/>
      <c r="I16" s="44">
        <v>15592.48</v>
      </c>
      <c r="J16" s="7" t="s">
        <v>155</v>
      </c>
      <c r="K16" s="356"/>
      <c r="L16" s="154"/>
      <c r="M16" s="22"/>
      <c r="N16" s="151"/>
    </row>
    <row r="17" spans="1:14" s="1" customFormat="1" ht="24" customHeight="1" x14ac:dyDescent="0.25">
      <c r="A17" s="377"/>
      <c r="B17" s="342"/>
      <c r="C17" s="354"/>
      <c r="D17" s="354"/>
      <c r="E17" s="354"/>
      <c r="F17" s="298"/>
      <c r="G17" s="44">
        <v>245664.85</v>
      </c>
      <c r="H17" s="142"/>
      <c r="I17" s="44">
        <v>16564.88</v>
      </c>
      <c r="J17" s="7" t="s">
        <v>183</v>
      </c>
      <c r="K17" s="356"/>
      <c r="L17" s="154"/>
      <c r="M17" s="22"/>
      <c r="N17" s="151"/>
    </row>
    <row r="18" spans="1:14" s="1" customFormat="1" ht="24" customHeight="1" x14ac:dyDescent="0.25">
      <c r="A18" s="378"/>
      <c r="B18" s="343"/>
      <c r="C18" s="355"/>
      <c r="D18" s="355"/>
      <c r="E18" s="355"/>
      <c r="F18" s="299"/>
      <c r="G18" s="44"/>
      <c r="H18" s="142"/>
      <c r="I18" s="44"/>
      <c r="J18" s="7"/>
      <c r="K18" s="356"/>
      <c r="L18" s="154"/>
      <c r="M18" s="22"/>
      <c r="N18" s="151"/>
    </row>
    <row r="19" spans="1:14" s="1" customFormat="1" ht="22.5" customHeight="1" x14ac:dyDescent="0.25">
      <c r="A19" s="337" t="s">
        <v>160</v>
      </c>
      <c r="B19" s="311" t="s">
        <v>64</v>
      </c>
      <c r="C19" s="311" t="s">
        <v>107</v>
      </c>
      <c r="D19" s="311">
        <v>381700.15</v>
      </c>
      <c r="E19" s="311"/>
      <c r="F19" s="320" t="s">
        <v>63</v>
      </c>
      <c r="G19" s="44">
        <v>80434.25</v>
      </c>
      <c r="H19" s="142">
        <v>32500</v>
      </c>
      <c r="I19" s="44"/>
      <c r="J19" s="3" t="s">
        <v>153</v>
      </c>
      <c r="K19" s="356">
        <f>(156000-H19-H20)*2.5</f>
        <v>0</v>
      </c>
      <c r="L19" s="154"/>
      <c r="M19" s="22"/>
      <c r="N19" s="151"/>
    </row>
    <row r="20" spans="1:14" s="1" customFormat="1" ht="22.5" customHeight="1" x14ac:dyDescent="0.25">
      <c r="A20" s="339"/>
      <c r="B20" s="313"/>
      <c r="C20" s="313"/>
      <c r="D20" s="313"/>
      <c r="E20" s="313"/>
      <c r="F20" s="357"/>
      <c r="G20" s="59">
        <v>301265.90000000002</v>
      </c>
      <c r="H20" s="142">
        <v>123500</v>
      </c>
      <c r="I20" s="59"/>
      <c r="J20" s="3" t="s">
        <v>184</v>
      </c>
      <c r="K20" s="356"/>
      <c r="L20" s="154"/>
      <c r="M20" s="22"/>
      <c r="N20" s="151"/>
    </row>
    <row r="21" spans="1:14" s="1" customFormat="1" ht="22.5" customHeight="1" x14ac:dyDescent="0.25">
      <c r="A21" s="337" t="s">
        <v>108</v>
      </c>
      <c r="B21" s="311" t="s">
        <v>71</v>
      </c>
      <c r="C21" s="311">
        <v>312994.5</v>
      </c>
      <c r="D21" s="311">
        <v>312994.5</v>
      </c>
      <c r="E21" s="311"/>
      <c r="F21" s="320" t="s">
        <v>62</v>
      </c>
      <c r="G21" s="44">
        <v>14675.2</v>
      </c>
      <c r="H21" s="142"/>
      <c r="I21" s="44"/>
      <c r="J21" s="3" t="s">
        <v>149</v>
      </c>
      <c r="K21" s="316">
        <f>D21-G21-G22-G23-G24</f>
        <v>0</v>
      </c>
      <c r="L21" s="154"/>
      <c r="M21" s="22"/>
      <c r="N21" s="151"/>
    </row>
    <row r="22" spans="1:14" s="1" customFormat="1" ht="22.5" customHeight="1" x14ac:dyDescent="0.25">
      <c r="A22" s="338"/>
      <c r="B22" s="312"/>
      <c r="C22" s="312"/>
      <c r="D22" s="312"/>
      <c r="E22" s="312"/>
      <c r="F22" s="321"/>
      <c r="G22" s="133">
        <v>33248.5</v>
      </c>
      <c r="H22" s="142"/>
      <c r="I22" s="133"/>
      <c r="J22" s="3" t="s">
        <v>179</v>
      </c>
      <c r="K22" s="317"/>
      <c r="L22" s="154"/>
      <c r="M22" s="22"/>
      <c r="N22" s="151"/>
    </row>
    <row r="23" spans="1:14" s="1" customFormat="1" ht="22.5" customHeight="1" x14ac:dyDescent="0.25">
      <c r="A23" s="338"/>
      <c r="B23" s="312"/>
      <c r="C23" s="312"/>
      <c r="D23" s="312"/>
      <c r="E23" s="312"/>
      <c r="F23" s="321"/>
      <c r="G23" s="133">
        <v>104331.5</v>
      </c>
      <c r="H23" s="142"/>
      <c r="I23" s="133"/>
      <c r="J23" s="3" t="s">
        <v>89</v>
      </c>
      <c r="K23" s="317"/>
      <c r="L23" s="154"/>
      <c r="M23" s="22"/>
      <c r="N23" s="151"/>
    </row>
    <row r="24" spans="1:14" s="1" customFormat="1" ht="22.5" customHeight="1" x14ac:dyDescent="0.25">
      <c r="A24" s="339"/>
      <c r="B24" s="313"/>
      <c r="C24" s="313"/>
      <c r="D24" s="313"/>
      <c r="E24" s="313"/>
      <c r="F24" s="357"/>
      <c r="G24" s="221">
        <v>160739.29999999999</v>
      </c>
      <c r="H24" s="221"/>
      <c r="I24" s="221"/>
      <c r="J24" s="3" t="s">
        <v>280</v>
      </c>
      <c r="K24" s="361"/>
      <c r="L24" s="154"/>
      <c r="M24" s="22"/>
      <c r="N24" s="151"/>
    </row>
    <row r="25" spans="1:14" s="1" customFormat="1" ht="22.5" customHeight="1" x14ac:dyDescent="0.25">
      <c r="A25" s="337" t="s">
        <v>109</v>
      </c>
      <c r="B25" s="311" t="s">
        <v>71</v>
      </c>
      <c r="C25" s="311">
        <v>2967790.95</v>
      </c>
      <c r="D25" s="311">
        <v>2915121.46</v>
      </c>
      <c r="E25" s="311"/>
      <c r="F25" s="320" t="s">
        <v>56</v>
      </c>
      <c r="G25" s="176">
        <v>281529.59999999998</v>
      </c>
      <c r="H25" s="176"/>
      <c r="I25" s="176"/>
      <c r="J25" s="3" t="s">
        <v>149</v>
      </c>
      <c r="K25" s="316">
        <f>D25-G25-G26-G27-G28-G29-G30-G31-G32</f>
        <v>0</v>
      </c>
      <c r="L25" s="154"/>
      <c r="M25" s="22"/>
      <c r="N25" s="152"/>
    </row>
    <row r="26" spans="1:14" s="1" customFormat="1" ht="22.5" customHeight="1" x14ac:dyDescent="0.25">
      <c r="A26" s="338"/>
      <c r="B26" s="312"/>
      <c r="C26" s="312"/>
      <c r="D26" s="312"/>
      <c r="E26" s="312"/>
      <c r="F26" s="321"/>
      <c r="G26" s="176">
        <v>480007.93</v>
      </c>
      <c r="H26" s="176"/>
      <c r="I26" s="176"/>
      <c r="J26" s="3" t="s">
        <v>139</v>
      </c>
      <c r="K26" s="317"/>
      <c r="L26" s="154"/>
      <c r="M26" s="22"/>
      <c r="N26" s="152"/>
    </row>
    <row r="27" spans="1:14" s="1" customFormat="1" ht="22.5" customHeight="1" x14ac:dyDescent="0.25">
      <c r="A27" s="338"/>
      <c r="B27" s="312"/>
      <c r="C27" s="312"/>
      <c r="D27" s="312"/>
      <c r="E27" s="312"/>
      <c r="F27" s="321"/>
      <c r="G27" s="176">
        <v>93843.199999999997</v>
      </c>
      <c r="H27" s="176"/>
      <c r="I27" s="176"/>
      <c r="J27" s="3" t="s">
        <v>190</v>
      </c>
      <c r="K27" s="317"/>
      <c r="L27" s="154"/>
      <c r="M27" s="22"/>
      <c r="N27" s="152"/>
    </row>
    <row r="28" spans="1:14" s="1" customFormat="1" ht="22.5" customHeight="1" x14ac:dyDescent="0.25">
      <c r="A28" s="338"/>
      <c r="B28" s="312"/>
      <c r="C28" s="312"/>
      <c r="D28" s="312"/>
      <c r="E28" s="312"/>
      <c r="F28" s="321"/>
      <c r="G28" s="176">
        <v>175955.99</v>
      </c>
      <c r="H28" s="176"/>
      <c r="I28" s="176"/>
      <c r="J28" s="3" t="s">
        <v>226</v>
      </c>
      <c r="K28" s="317"/>
      <c r="L28" s="154"/>
      <c r="M28" s="22"/>
      <c r="N28" s="152"/>
    </row>
    <row r="29" spans="1:14" s="1" customFormat="1" ht="22.5" customHeight="1" x14ac:dyDescent="0.25">
      <c r="A29" s="338"/>
      <c r="B29" s="312"/>
      <c r="C29" s="312"/>
      <c r="D29" s="312"/>
      <c r="E29" s="312"/>
      <c r="F29" s="321"/>
      <c r="G29" s="195">
        <v>668632.74</v>
      </c>
      <c r="H29" s="195"/>
      <c r="I29" s="195"/>
      <c r="J29" s="3" t="s">
        <v>245</v>
      </c>
      <c r="K29" s="317"/>
      <c r="L29" s="154"/>
      <c r="M29" s="22"/>
      <c r="N29" s="152"/>
    </row>
    <row r="30" spans="1:14" s="1" customFormat="1" ht="22.5" customHeight="1" x14ac:dyDescent="0.25">
      <c r="A30" s="338"/>
      <c r="B30" s="312"/>
      <c r="C30" s="312"/>
      <c r="D30" s="312"/>
      <c r="E30" s="312"/>
      <c r="F30" s="321"/>
      <c r="G30" s="221">
        <v>372674.77</v>
      </c>
      <c r="H30" s="221"/>
      <c r="I30" s="221"/>
      <c r="J30" s="3" t="s">
        <v>279</v>
      </c>
      <c r="K30" s="317"/>
      <c r="L30" s="154"/>
      <c r="M30" s="22"/>
      <c r="N30" s="152"/>
    </row>
    <row r="31" spans="1:14" s="1" customFormat="1" ht="22.5" customHeight="1" x14ac:dyDescent="0.25">
      <c r="A31" s="338"/>
      <c r="B31" s="312"/>
      <c r="C31" s="312"/>
      <c r="D31" s="312"/>
      <c r="E31" s="312"/>
      <c r="F31" s="321"/>
      <c r="G31" s="221">
        <v>286690.95</v>
      </c>
      <c r="H31" s="221"/>
      <c r="I31" s="221"/>
      <c r="J31" s="3" t="s">
        <v>272</v>
      </c>
      <c r="K31" s="317"/>
      <c r="L31" s="154"/>
      <c r="M31" s="22"/>
      <c r="N31" s="152"/>
    </row>
    <row r="32" spans="1:14" s="1" customFormat="1" ht="22.5" customHeight="1" x14ac:dyDescent="0.25">
      <c r="A32" s="339"/>
      <c r="B32" s="313"/>
      <c r="C32" s="313"/>
      <c r="D32" s="313"/>
      <c r="E32" s="313"/>
      <c r="F32" s="357"/>
      <c r="G32" s="221">
        <v>555786.28</v>
      </c>
      <c r="H32" s="221"/>
      <c r="I32" s="221"/>
      <c r="J32" s="3" t="s">
        <v>310</v>
      </c>
      <c r="K32" s="361"/>
      <c r="L32" s="154"/>
      <c r="M32" s="22"/>
      <c r="N32" s="152"/>
    </row>
    <row r="33" spans="1:15" s="1" customFormat="1" ht="28.5" customHeight="1" x14ac:dyDescent="0.25">
      <c r="A33" s="81" t="s">
        <v>227</v>
      </c>
      <c r="B33" s="177" t="s">
        <v>71</v>
      </c>
      <c r="C33" s="177">
        <v>52669.5</v>
      </c>
      <c r="D33" s="177">
        <v>52669.49</v>
      </c>
      <c r="E33" s="177"/>
      <c r="F33" s="178" t="s">
        <v>56</v>
      </c>
      <c r="G33" s="176">
        <v>52669.49</v>
      </c>
      <c r="H33" s="176"/>
      <c r="I33" s="176"/>
      <c r="J33" s="3" t="s">
        <v>226</v>
      </c>
      <c r="K33" s="176">
        <f>D33-G33</f>
        <v>0</v>
      </c>
      <c r="L33" s="154"/>
      <c r="M33" s="22"/>
      <c r="N33" s="152"/>
    </row>
    <row r="34" spans="1:15" s="1" customFormat="1" ht="29.25" customHeight="1" x14ac:dyDescent="0.25">
      <c r="A34" s="84"/>
      <c r="B34" s="75"/>
      <c r="C34" s="124"/>
      <c r="D34" s="85">
        <f>SUM(D9:D33)</f>
        <v>5172878.6500000004</v>
      </c>
      <c r="E34" s="85"/>
      <c r="F34" s="83"/>
      <c r="G34" s="21">
        <f>SUM(G9:G33)</f>
        <v>5119737.3800000008</v>
      </c>
      <c r="H34" s="21"/>
      <c r="I34" s="21">
        <f>SUM(I9:I33)</f>
        <v>53141.270000000004</v>
      </c>
      <c r="J34" s="86"/>
      <c r="K34" s="21">
        <f>SUM(K9:K33)</f>
        <v>0</v>
      </c>
      <c r="L34" s="198">
        <f>G34+K34</f>
        <v>5119737.3800000008</v>
      </c>
      <c r="M34" s="197"/>
      <c r="N34" s="152"/>
    </row>
    <row r="35" spans="1:15" x14ac:dyDescent="0.25">
      <c r="L35" s="156"/>
      <c r="M35" s="157"/>
    </row>
    <row r="36" spans="1:15" ht="36.75" customHeight="1" x14ac:dyDescent="0.25">
      <c r="A36" s="368" t="s">
        <v>12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9"/>
      <c r="L36" s="43">
        <v>1117000</v>
      </c>
      <c r="M36" s="43">
        <f>G44+K44</f>
        <v>1037005.53</v>
      </c>
      <c r="N36" s="150"/>
      <c r="O36" s="43">
        <f>L36-M36-N36</f>
        <v>79994.469999999972</v>
      </c>
    </row>
    <row r="37" spans="1:15" s="12" customFormat="1" ht="38.25" x14ac:dyDescent="0.25">
      <c r="A37" s="80" t="s">
        <v>0</v>
      </c>
      <c r="B37" s="15" t="s">
        <v>11</v>
      </c>
      <c r="C37" s="80" t="s">
        <v>1</v>
      </c>
      <c r="D37" s="80"/>
      <c r="E37" s="80"/>
      <c r="F37" s="15" t="s">
        <v>2</v>
      </c>
      <c r="G37" s="80" t="s">
        <v>3</v>
      </c>
      <c r="H37" s="15" t="s">
        <v>18</v>
      </c>
      <c r="I37" s="15" t="s">
        <v>143</v>
      </c>
      <c r="J37" s="15" t="s">
        <v>4</v>
      </c>
      <c r="K37" s="15" t="s">
        <v>16</v>
      </c>
      <c r="L37" s="87"/>
      <c r="M37" s="158"/>
      <c r="N37" s="153"/>
    </row>
    <row r="38" spans="1:15" ht="20.25" customHeight="1" x14ac:dyDescent="0.25">
      <c r="A38" s="358" t="s">
        <v>111</v>
      </c>
      <c r="B38" s="347" t="s">
        <v>71</v>
      </c>
      <c r="C38" s="353">
        <v>71167</v>
      </c>
      <c r="D38" s="353">
        <v>71167</v>
      </c>
      <c r="E38" s="358"/>
      <c r="F38" s="297" t="s">
        <v>112</v>
      </c>
      <c r="G38" s="26">
        <v>24572.19</v>
      </c>
      <c r="H38" s="26"/>
      <c r="I38" s="88"/>
      <c r="J38" s="11" t="s">
        <v>153</v>
      </c>
      <c r="K38" s="356">
        <f>D38-G38-G39</f>
        <v>0</v>
      </c>
      <c r="L38" s="32"/>
      <c r="M38" s="159"/>
    </row>
    <row r="39" spans="1:15" ht="20.25" customHeight="1" x14ac:dyDescent="0.25">
      <c r="A39" s="359"/>
      <c r="B39" s="348"/>
      <c r="C39" s="354"/>
      <c r="D39" s="354"/>
      <c r="E39" s="359"/>
      <c r="F39" s="298"/>
      <c r="G39" s="26">
        <v>46594.81</v>
      </c>
      <c r="H39" s="26"/>
      <c r="I39" s="26"/>
      <c r="J39" s="7" t="s">
        <v>158</v>
      </c>
      <c r="K39" s="356"/>
      <c r="L39" s="32"/>
      <c r="M39" s="159"/>
    </row>
    <row r="40" spans="1:15" ht="19.5" customHeight="1" x14ac:dyDescent="0.25">
      <c r="A40" s="358" t="s">
        <v>105</v>
      </c>
      <c r="B40" s="347" t="s">
        <v>67</v>
      </c>
      <c r="C40" s="347" t="s">
        <v>106</v>
      </c>
      <c r="D40" s="353">
        <f>392239.8*2.5</f>
        <v>980599.5</v>
      </c>
      <c r="E40" s="347"/>
      <c r="F40" s="365" t="s">
        <v>68</v>
      </c>
      <c r="G40" s="26">
        <v>133307</v>
      </c>
      <c r="H40" s="26">
        <v>53389</v>
      </c>
      <c r="I40" s="26"/>
      <c r="J40" s="7" t="s">
        <v>154</v>
      </c>
      <c r="K40" s="356">
        <v>0</v>
      </c>
      <c r="L40" s="32"/>
      <c r="M40" s="159"/>
    </row>
    <row r="41" spans="1:15" ht="18" customHeight="1" x14ac:dyDescent="0.25">
      <c r="A41" s="359"/>
      <c r="B41" s="348"/>
      <c r="C41" s="348"/>
      <c r="D41" s="354"/>
      <c r="E41" s="348"/>
      <c r="F41" s="366"/>
      <c r="G41" s="26">
        <v>201569.98</v>
      </c>
      <c r="H41" s="26">
        <v>81399.66</v>
      </c>
      <c r="I41" s="26"/>
      <c r="J41" s="7" t="s">
        <v>148</v>
      </c>
      <c r="K41" s="356"/>
      <c r="L41" s="32"/>
      <c r="M41" s="159"/>
    </row>
    <row r="42" spans="1:15" ht="18" customHeight="1" x14ac:dyDescent="0.25">
      <c r="A42" s="359"/>
      <c r="B42" s="348"/>
      <c r="C42" s="348"/>
      <c r="D42" s="354"/>
      <c r="E42" s="348"/>
      <c r="F42" s="366"/>
      <c r="G42" s="26">
        <v>241661.02</v>
      </c>
      <c r="H42" s="26">
        <v>98384.16</v>
      </c>
      <c r="I42" s="26"/>
      <c r="J42" s="7" t="s">
        <v>230</v>
      </c>
      <c r="K42" s="356"/>
      <c r="L42" s="32"/>
      <c r="M42" s="160"/>
    </row>
    <row r="43" spans="1:15" ht="18" customHeight="1" x14ac:dyDescent="0.25">
      <c r="A43" s="388"/>
      <c r="B43" s="349"/>
      <c r="C43" s="349"/>
      <c r="D43" s="355"/>
      <c r="E43" s="349"/>
      <c r="F43" s="367"/>
      <c r="G43" s="26">
        <v>389300.53</v>
      </c>
      <c r="H43" s="26">
        <v>159066.98000000001</v>
      </c>
      <c r="I43" s="26"/>
      <c r="J43" s="7"/>
      <c r="K43" s="356"/>
      <c r="L43" s="32"/>
      <c r="M43" s="160"/>
    </row>
    <row r="44" spans="1:15" ht="24" customHeight="1" x14ac:dyDescent="0.25">
      <c r="D44" s="85">
        <f>SUM(D38:D43)</f>
        <v>1051766.5</v>
      </c>
      <c r="E44" s="85">
        <f>SUM(E38:E43)</f>
        <v>0</v>
      </c>
      <c r="F44" s="184"/>
      <c r="G44" s="85">
        <f>SUM(G38:G43)</f>
        <v>1037005.53</v>
      </c>
      <c r="H44" s="85"/>
      <c r="I44" s="85"/>
      <c r="J44" s="85"/>
      <c r="K44" s="85">
        <f>SUM(K38:K43)</f>
        <v>0</v>
      </c>
      <c r="L44" s="32"/>
      <c r="M44" s="157"/>
    </row>
    <row r="45" spans="1:15" ht="15.75" customHeight="1" x14ac:dyDescent="0.25">
      <c r="L45" s="156"/>
      <c r="M45" s="157"/>
    </row>
    <row r="46" spans="1:15" ht="36.75" customHeight="1" x14ac:dyDescent="0.25">
      <c r="A46" s="368" t="s">
        <v>7</v>
      </c>
      <c r="B46" s="368"/>
      <c r="C46" s="368"/>
      <c r="D46" s="368"/>
      <c r="E46" s="368"/>
      <c r="F46" s="368"/>
      <c r="G46" s="368"/>
      <c r="H46" s="368"/>
      <c r="I46" s="368"/>
      <c r="J46" s="368"/>
      <c r="K46" s="369"/>
      <c r="L46" s="125">
        <v>465000</v>
      </c>
      <c r="M46" s="43">
        <f>G55+K55</f>
        <v>484180.19</v>
      </c>
      <c r="N46" s="150">
        <v>4300.8100000000004</v>
      </c>
      <c r="O46" s="43">
        <f>L46-M46-N46</f>
        <v>-23481.000000000004</v>
      </c>
    </row>
    <row r="47" spans="1:15" s="12" customFormat="1" ht="38.25" x14ac:dyDescent="0.25">
      <c r="A47" s="80" t="s">
        <v>0</v>
      </c>
      <c r="B47" s="15" t="s">
        <v>11</v>
      </c>
      <c r="C47" s="80" t="s">
        <v>1</v>
      </c>
      <c r="D47" s="80"/>
      <c r="E47" s="80"/>
      <c r="F47" s="15" t="s">
        <v>2</v>
      </c>
      <c r="G47" s="80" t="s">
        <v>3</v>
      </c>
      <c r="H47" s="15" t="s">
        <v>18</v>
      </c>
      <c r="I47" s="15" t="s">
        <v>143</v>
      </c>
      <c r="J47" s="15" t="s">
        <v>4</v>
      </c>
      <c r="K47" s="15" t="s">
        <v>16</v>
      </c>
      <c r="L47" s="161"/>
      <c r="M47" s="161"/>
      <c r="N47" s="153"/>
    </row>
    <row r="48" spans="1:15" ht="18.75" customHeight="1" x14ac:dyDescent="0.25">
      <c r="A48" s="362" t="s">
        <v>98</v>
      </c>
      <c r="B48" s="372" t="s">
        <v>97</v>
      </c>
      <c r="C48" s="372">
        <v>436894.19</v>
      </c>
      <c r="D48" s="372"/>
      <c r="E48" s="372"/>
      <c r="F48" s="350" t="s">
        <v>99</v>
      </c>
      <c r="G48" s="44">
        <v>90739.56</v>
      </c>
      <c r="H48" s="142"/>
      <c r="J48" s="7" t="s">
        <v>157</v>
      </c>
      <c r="K48" s="316">
        <f>C48-G48-G49-G50-G51</f>
        <v>9.9999999976603249E-3</v>
      </c>
      <c r="L48" s="32"/>
      <c r="M48" s="157"/>
    </row>
    <row r="49" spans="1:15" ht="21.75" customHeight="1" x14ac:dyDescent="0.25">
      <c r="A49" s="363"/>
      <c r="B49" s="373"/>
      <c r="C49" s="373"/>
      <c r="D49" s="373"/>
      <c r="E49" s="373"/>
      <c r="F49" s="351"/>
      <c r="G49" s="44">
        <v>18003.88</v>
      </c>
      <c r="H49" s="142"/>
      <c r="I49" s="11"/>
      <c r="J49" s="7" t="s">
        <v>183</v>
      </c>
      <c r="K49" s="317"/>
      <c r="L49" s="32"/>
      <c r="M49" s="157"/>
    </row>
    <row r="50" spans="1:15" ht="19.5" customHeight="1" x14ac:dyDescent="0.25">
      <c r="A50" s="363"/>
      <c r="B50" s="373"/>
      <c r="C50" s="373"/>
      <c r="D50" s="373"/>
      <c r="E50" s="373"/>
      <c r="F50" s="351"/>
      <c r="G50" s="60">
        <v>327910.69</v>
      </c>
      <c r="H50" s="139"/>
      <c r="I50" s="60"/>
      <c r="J50" s="65" t="s">
        <v>219</v>
      </c>
      <c r="K50" s="317"/>
      <c r="L50" s="32"/>
      <c r="M50" s="157"/>
    </row>
    <row r="51" spans="1:15" ht="19.5" customHeight="1" x14ac:dyDescent="0.25">
      <c r="A51" s="364"/>
      <c r="B51" s="374"/>
      <c r="C51" s="374"/>
      <c r="D51" s="374"/>
      <c r="E51" s="374"/>
      <c r="F51" s="352"/>
      <c r="G51" s="174">
        <v>240.05</v>
      </c>
      <c r="H51" s="174"/>
      <c r="I51" s="174"/>
      <c r="J51" s="65" t="s">
        <v>226</v>
      </c>
      <c r="K51" s="361"/>
      <c r="L51" s="32"/>
      <c r="M51" s="157"/>
    </row>
    <row r="52" spans="1:15" ht="20.25" customHeight="1" x14ac:dyDescent="0.25">
      <c r="A52" s="386" t="s">
        <v>110</v>
      </c>
      <c r="B52" s="360" t="s">
        <v>97</v>
      </c>
      <c r="C52" s="353">
        <v>47286</v>
      </c>
      <c r="D52" s="371"/>
      <c r="E52" s="371"/>
      <c r="F52" s="370" t="s">
        <v>99</v>
      </c>
      <c r="G52" s="59">
        <v>11106.32</v>
      </c>
      <c r="H52" s="142"/>
      <c r="I52" s="59"/>
      <c r="J52" s="7" t="s">
        <v>157</v>
      </c>
      <c r="K52" s="356">
        <f>C52-G52-G53</f>
        <v>0</v>
      </c>
      <c r="L52" s="32"/>
      <c r="M52" s="157"/>
    </row>
    <row r="53" spans="1:15" ht="20.25" customHeight="1" x14ac:dyDescent="0.25">
      <c r="A53" s="386"/>
      <c r="B53" s="360"/>
      <c r="C53" s="354"/>
      <c r="D53" s="371"/>
      <c r="E53" s="371"/>
      <c r="F53" s="370"/>
      <c r="G53" s="59">
        <v>36179.68</v>
      </c>
      <c r="H53" s="142"/>
      <c r="I53" s="59"/>
      <c r="J53" s="65" t="s">
        <v>219</v>
      </c>
      <c r="K53" s="356"/>
      <c r="L53" s="32"/>
      <c r="M53" s="157"/>
    </row>
    <row r="54" spans="1:15" ht="20.25" customHeight="1" x14ac:dyDescent="0.25">
      <c r="A54" s="386"/>
      <c r="B54" s="360"/>
      <c r="C54" s="355"/>
      <c r="D54" s="371"/>
      <c r="E54" s="371"/>
      <c r="F54" s="370"/>
      <c r="G54" s="59"/>
      <c r="H54" s="142"/>
      <c r="I54" s="59"/>
      <c r="J54" s="63"/>
      <c r="K54" s="356"/>
      <c r="L54" s="32"/>
      <c r="M54" s="157"/>
    </row>
    <row r="55" spans="1:15" ht="22.5" customHeight="1" x14ac:dyDescent="0.25">
      <c r="C55" s="85">
        <f>SUM(C48:C54)</f>
        <v>484180.19</v>
      </c>
      <c r="D55" s="85"/>
      <c r="E55" s="85">
        <f>SUM(E48:E53)</f>
        <v>0</v>
      </c>
      <c r="F55" s="184"/>
      <c r="G55" s="85">
        <f>SUM(G48:G54)</f>
        <v>484180.18</v>
      </c>
      <c r="H55" s="85"/>
      <c r="I55" s="85"/>
      <c r="J55" s="85"/>
      <c r="K55" s="85">
        <f>SUM(K48:K54)</f>
        <v>9.9999999976603249E-3</v>
      </c>
      <c r="L55" s="32"/>
      <c r="M55" s="157"/>
    </row>
    <row r="56" spans="1:15" x14ac:dyDescent="0.25">
      <c r="L56" s="156"/>
      <c r="M56" s="157"/>
    </row>
    <row r="57" spans="1:15" ht="36.75" customHeight="1" x14ac:dyDescent="0.25">
      <c r="A57" s="368" t="s">
        <v>8</v>
      </c>
      <c r="B57" s="368"/>
      <c r="C57" s="368"/>
      <c r="D57" s="368"/>
      <c r="E57" s="368"/>
      <c r="F57" s="368"/>
      <c r="G57" s="368"/>
      <c r="H57" s="368"/>
      <c r="I57" s="368"/>
      <c r="J57" s="368"/>
      <c r="K57" s="369"/>
      <c r="L57" s="43">
        <v>48000</v>
      </c>
      <c r="M57" s="43">
        <f>G62+K62</f>
        <v>41082.740000000005</v>
      </c>
      <c r="N57" s="150">
        <v>1336.8</v>
      </c>
      <c r="O57" s="43">
        <f>L57-M57-N57</f>
        <v>5580.4599999999946</v>
      </c>
    </row>
    <row r="58" spans="1:15" s="12" customFormat="1" ht="38.25" x14ac:dyDescent="0.25">
      <c r="A58" s="241" t="s">
        <v>0</v>
      </c>
      <c r="B58" s="15" t="s">
        <v>11</v>
      </c>
      <c r="C58" s="241" t="s">
        <v>1</v>
      </c>
      <c r="D58" s="241"/>
      <c r="E58" s="241"/>
      <c r="F58" s="15" t="s">
        <v>2</v>
      </c>
      <c r="G58" s="241" t="s">
        <v>3</v>
      </c>
      <c r="H58" s="15" t="s">
        <v>18</v>
      </c>
      <c r="I58" s="15" t="s">
        <v>143</v>
      </c>
      <c r="J58" s="15" t="s">
        <v>4</v>
      </c>
      <c r="K58" s="15" t="s">
        <v>16</v>
      </c>
      <c r="L58" s="161"/>
      <c r="M58" s="161"/>
      <c r="N58" s="153"/>
    </row>
    <row r="59" spans="1:15" ht="30" customHeight="1" x14ac:dyDescent="0.25">
      <c r="A59" s="387" t="s">
        <v>156</v>
      </c>
      <c r="B59" s="360" t="s">
        <v>58</v>
      </c>
      <c r="C59" s="360">
        <v>42527.199999999997</v>
      </c>
      <c r="D59" s="360"/>
      <c r="E59" s="360" t="s">
        <v>100</v>
      </c>
      <c r="F59" s="360" t="s">
        <v>59</v>
      </c>
      <c r="G59" s="244">
        <v>13421.01</v>
      </c>
      <c r="H59" s="244"/>
      <c r="I59" s="244">
        <v>738.99</v>
      </c>
      <c r="J59" s="7" t="s">
        <v>140</v>
      </c>
      <c r="K59" s="316">
        <f>C59-G59-G60-I59-I60-G61</f>
        <v>0</v>
      </c>
      <c r="L59" s="32"/>
      <c r="M59" s="157"/>
    </row>
    <row r="60" spans="1:15" ht="26.25" customHeight="1" x14ac:dyDescent="0.25">
      <c r="A60" s="387"/>
      <c r="B60" s="360"/>
      <c r="C60" s="360"/>
      <c r="D60" s="360"/>
      <c r="E60" s="360"/>
      <c r="F60" s="360"/>
      <c r="G60" s="244">
        <v>13454.53</v>
      </c>
      <c r="H60" s="244"/>
      <c r="I60" s="244">
        <v>705.47</v>
      </c>
      <c r="J60" s="7" t="s">
        <v>202</v>
      </c>
      <c r="K60" s="317"/>
      <c r="L60" s="32"/>
      <c r="M60" s="157"/>
    </row>
    <row r="61" spans="1:15" ht="26.25" customHeight="1" x14ac:dyDescent="0.25">
      <c r="A61" s="387"/>
      <c r="B61" s="360"/>
      <c r="C61" s="360"/>
      <c r="D61" s="360"/>
      <c r="E61" s="360"/>
      <c r="F61" s="360"/>
      <c r="G61" s="244">
        <v>14207.2</v>
      </c>
      <c r="H61" s="244"/>
      <c r="I61" s="244"/>
      <c r="J61" s="7" t="s">
        <v>317</v>
      </c>
      <c r="K61" s="361"/>
      <c r="L61" s="32"/>
      <c r="M61" s="157"/>
    </row>
    <row r="62" spans="1:15" ht="24.75" customHeight="1" x14ac:dyDescent="0.25">
      <c r="C62" s="85">
        <f>SUM(C59:C60)</f>
        <v>42527.199999999997</v>
      </c>
      <c r="D62" s="85"/>
      <c r="E62" s="85"/>
      <c r="F62" s="184"/>
      <c r="G62" s="85">
        <f>SUM(G59:G61)</f>
        <v>41082.740000000005</v>
      </c>
      <c r="H62" s="85"/>
      <c r="I62" s="85"/>
      <c r="J62" s="85"/>
      <c r="K62" s="85">
        <f>SUM(K59:K59)</f>
        <v>0</v>
      </c>
      <c r="L62" s="32"/>
      <c r="M62" s="157"/>
    </row>
    <row r="63" spans="1:15" x14ac:dyDescent="0.25">
      <c r="G63" s="12"/>
      <c r="H63" s="12"/>
      <c r="I63" s="12"/>
      <c r="J63" s="12"/>
      <c r="K63" s="12"/>
      <c r="L63" s="156"/>
      <c r="M63" s="157"/>
    </row>
    <row r="64" spans="1:15" ht="36.75" customHeight="1" x14ac:dyDescent="0.25">
      <c r="A64" s="368" t="s">
        <v>9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9"/>
      <c r="L64" s="125">
        <v>24000</v>
      </c>
      <c r="M64" s="43">
        <f>G70+K70</f>
        <v>-8.8107299234252423E-13</v>
      </c>
      <c r="N64" s="150"/>
      <c r="O64" s="43">
        <f>L64-M64-N64</f>
        <v>24000</v>
      </c>
    </row>
    <row r="65" spans="1:15" s="12" customFormat="1" ht="38.25" customHeight="1" x14ac:dyDescent="0.25">
      <c r="A65" s="80" t="s">
        <v>0</v>
      </c>
      <c r="B65" s="15" t="s">
        <v>11</v>
      </c>
      <c r="C65" s="80" t="s">
        <v>1</v>
      </c>
      <c r="D65" s="80"/>
      <c r="E65" s="80"/>
      <c r="F65" s="15" t="s">
        <v>2</v>
      </c>
      <c r="G65" s="80" t="s">
        <v>3</v>
      </c>
      <c r="H65" s="15" t="s">
        <v>18</v>
      </c>
      <c r="I65" s="15" t="s">
        <v>143</v>
      </c>
      <c r="J65" s="15" t="s">
        <v>4</v>
      </c>
      <c r="K65" s="15" t="s">
        <v>16</v>
      </c>
      <c r="L65" s="161"/>
      <c r="M65" s="161"/>
      <c r="N65" s="153"/>
    </row>
    <row r="66" spans="1:15" ht="30" customHeight="1" x14ac:dyDescent="0.25">
      <c r="A66" s="175" t="s">
        <v>57</v>
      </c>
      <c r="B66" s="140" t="s">
        <v>37</v>
      </c>
      <c r="C66" s="27">
        <v>11999.75</v>
      </c>
      <c r="D66" s="45"/>
      <c r="E66" s="26" t="s">
        <v>113</v>
      </c>
      <c r="F66" s="179"/>
      <c r="G66" s="45">
        <v>11999.75</v>
      </c>
      <c r="H66" s="45"/>
      <c r="I66" s="14"/>
      <c r="J66" s="7" t="s">
        <v>150</v>
      </c>
      <c r="K66" s="142">
        <f>C66-G66</f>
        <v>0</v>
      </c>
      <c r="L66" s="156"/>
      <c r="M66" s="157"/>
    </row>
    <row r="67" spans="1:15" ht="30" customHeight="1" x14ac:dyDescent="0.25">
      <c r="A67" s="376" t="s">
        <v>228</v>
      </c>
      <c r="B67" s="360" t="s">
        <v>71</v>
      </c>
      <c r="C67" s="384">
        <v>23914.95</v>
      </c>
      <c r="D67" s="360"/>
      <c r="E67" s="360"/>
      <c r="F67" s="360" t="s">
        <v>229</v>
      </c>
      <c r="G67" s="213">
        <v>7200.2</v>
      </c>
      <c r="H67" s="213"/>
      <c r="I67" s="213"/>
      <c r="J67" s="26" t="s">
        <v>231</v>
      </c>
      <c r="K67" s="316">
        <f>C67-G67-G68-H68</f>
        <v>-8.8107299234252423E-13</v>
      </c>
      <c r="L67" s="156"/>
      <c r="M67" s="157"/>
    </row>
    <row r="68" spans="1:15" ht="30" customHeight="1" x14ac:dyDescent="0.25">
      <c r="A68" s="378"/>
      <c r="B68" s="360"/>
      <c r="C68" s="385"/>
      <c r="D68" s="360"/>
      <c r="E68" s="360"/>
      <c r="F68" s="360"/>
      <c r="G68" s="213">
        <v>16487.79</v>
      </c>
      <c r="H68" s="213">
        <v>226.96</v>
      </c>
      <c r="I68" s="213"/>
      <c r="J68" s="26" t="s">
        <v>266</v>
      </c>
      <c r="K68" s="361"/>
      <c r="L68" s="156"/>
      <c r="M68" s="157"/>
    </row>
    <row r="69" spans="1:15" ht="31.5" customHeight="1" x14ac:dyDescent="0.25">
      <c r="A69" s="146"/>
      <c r="B69" s="204"/>
      <c r="C69" s="205">
        <v>13000</v>
      </c>
      <c r="D69" s="85"/>
      <c r="E69" s="85"/>
      <c r="F69" s="83"/>
      <c r="G69" s="21">
        <f>SUM(G66:G68)</f>
        <v>35687.740000000005</v>
      </c>
      <c r="H69" s="21"/>
      <c r="I69" s="21"/>
      <c r="J69" s="85"/>
      <c r="K69" s="21"/>
      <c r="L69" s="156"/>
      <c r="M69" s="157"/>
    </row>
    <row r="70" spans="1:15" ht="30" customHeight="1" x14ac:dyDescent="0.25">
      <c r="G70" s="85"/>
      <c r="H70" s="85"/>
      <c r="I70" s="85"/>
      <c r="J70" s="85"/>
      <c r="K70" s="85">
        <f>SUM(K66:K67)</f>
        <v>-8.8107299234252423E-13</v>
      </c>
      <c r="L70" s="32"/>
      <c r="M70" s="157"/>
    </row>
    <row r="71" spans="1:15" x14ac:dyDescent="0.25">
      <c r="L71" s="156"/>
      <c r="M71" s="157"/>
    </row>
    <row r="72" spans="1:15" ht="36.75" customHeight="1" x14ac:dyDescent="0.25">
      <c r="A72" s="368" t="s">
        <v>10</v>
      </c>
      <c r="B72" s="368"/>
      <c r="C72" s="368"/>
      <c r="D72" s="368"/>
      <c r="E72" s="368"/>
      <c r="F72" s="368"/>
      <c r="G72" s="368"/>
      <c r="H72" s="368"/>
      <c r="I72" s="368"/>
      <c r="J72" s="368"/>
      <c r="K72" s="369"/>
      <c r="L72" s="43">
        <v>417000</v>
      </c>
      <c r="M72" s="43">
        <f>G77+K77</f>
        <v>404648.64</v>
      </c>
      <c r="N72" s="150"/>
      <c r="O72" s="43">
        <f>L72-M72-N72</f>
        <v>12351.359999999986</v>
      </c>
    </row>
    <row r="73" spans="1:15" s="12" customFormat="1" ht="38.25" x14ac:dyDescent="0.25">
      <c r="A73" s="80" t="s">
        <v>0</v>
      </c>
      <c r="B73" s="15" t="s">
        <v>11</v>
      </c>
      <c r="C73" s="80" t="s">
        <v>1</v>
      </c>
      <c r="D73" s="80"/>
      <c r="E73" s="80"/>
      <c r="F73" s="15" t="s">
        <v>2</v>
      </c>
      <c r="G73" s="80" t="s">
        <v>3</v>
      </c>
      <c r="H73" s="80"/>
      <c r="I73" s="15" t="s">
        <v>18</v>
      </c>
      <c r="J73" s="15" t="s">
        <v>4</v>
      </c>
      <c r="K73" s="15" t="s">
        <v>16</v>
      </c>
      <c r="L73" s="161"/>
      <c r="M73" s="161"/>
      <c r="N73" s="153"/>
    </row>
    <row r="74" spans="1:15" ht="31.5" customHeight="1" x14ac:dyDescent="0.25">
      <c r="A74" s="360" t="s">
        <v>102</v>
      </c>
      <c r="B74" s="360" t="s">
        <v>71</v>
      </c>
      <c r="C74" s="360">
        <v>404648.64</v>
      </c>
      <c r="D74" s="360"/>
      <c r="E74" s="360"/>
      <c r="F74" s="360" t="s">
        <v>103</v>
      </c>
      <c r="G74" s="244">
        <v>102943.88</v>
      </c>
      <c r="H74" s="244"/>
      <c r="I74" s="244"/>
      <c r="J74" s="7" t="s">
        <v>159</v>
      </c>
      <c r="K74" s="316">
        <f>C74-G74-G75-G76</f>
        <v>0</v>
      </c>
      <c r="L74" s="32"/>
      <c r="M74" s="157"/>
    </row>
    <row r="75" spans="1:15" ht="27.75" customHeight="1" x14ac:dyDescent="0.25">
      <c r="A75" s="360"/>
      <c r="B75" s="360"/>
      <c r="C75" s="360"/>
      <c r="D75" s="360"/>
      <c r="E75" s="360"/>
      <c r="F75" s="360"/>
      <c r="G75" s="244">
        <v>197969</v>
      </c>
      <c r="H75" s="244"/>
      <c r="I75" s="244"/>
      <c r="J75" s="7" t="s">
        <v>188</v>
      </c>
      <c r="K75" s="317"/>
      <c r="L75" s="32"/>
      <c r="M75" s="157"/>
    </row>
    <row r="76" spans="1:15" ht="27.75" customHeight="1" x14ac:dyDescent="0.25">
      <c r="A76" s="360"/>
      <c r="B76" s="360"/>
      <c r="C76" s="360"/>
      <c r="D76" s="360"/>
      <c r="E76" s="360"/>
      <c r="F76" s="360"/>
      <c r="G76" s="244">
        <v>103735.76</v>
      </c>
      <c r="H76" s="244"/>
      <c r="I76" s="244"/>
      <c r="J76" s="7" t="s">
        <v>318</v>
      </c>
      <c r="K76" s="361"/>
      <c r="L76" s="32"/>
      <c r="M76" s="157"/>
    </row>
    <row r="77" spans="1:15" ht="26.25" customHeight="1" x14ac:dyDescent="0.25">
      <c r="C77" s="85">
        <f>SUM(C74:C75)</f>
        <v>404648.64</v>
      </c>
      <c r="D77" s="85"/>
      <c r="E77" s="85"/>
      <c r="F77" s="184"/>
      <c r="G77" s="85">
        <f>SUM(G74:G76)</f>
        <v>404648.64</v>
      </c>
      <c r="H77" s="85"/>
      <c r="I77" s="85"/>
      <c r="J77" s="85"/>
      <c r="K77" s="85">
        <f>SUM(K73:K75)</f>
        <v>0</v>
      </c>
      <c r="L77" s="32"/>
      <c r="M77" s="157"/>
    </row>
    <row r="78" spans="1:15" x14ac:dyDescent="0.25">
      <c r="G78" s="25"/>
      <c r="H78" s="25"/>
      <c r="I78" s="12"/>
      <c r="J78" s="12"/>
      <c r="K78" s="25"/>
      <c r="L78" s="156"/>
      <c r="M78" s="157"/>
    </row>
    <row r="79" spans="1:15" x14ac:dyDescent="0.25">
      <c r="G79" s="25"/>
      <c r="H79" s="25"/>
      <c r="I79" s="12"/>
      <c r="J79" s="12"/>
      <c r="K79" s="25"/>
      <c r="L79" s="156"/>
      <c r="M79" s="157"/>
    </row>
    <row r="80" spans="1:15" ht="36.75" customHeight="1" x14ac:dyDescent="0.25">
      <c r="A80" s="368" t="s">
        <v>13</v>
      </c>
      <c r="B80" s="368"/>
      <c r="C80" s="368"/>
      <c r="D80" s="368"/>
      <c r="E80" s="368"/>
      <c r="F80" s="368"/>
      <c r="G80" s="368"/>
      <c r="H80" s="368"/>
      <c r="I80" s="368"/>
      <c r="J80" s="368"/>
      <c r="K80" s="369"/>
      <c r="L80" s="43">
        <v>343000</v>
      </c>
      <c r="M80" s="43">
        <f>G85+K85</f>
        <v>272971.15999999997</v>
      </c>
      <c r="N80" s="43">
        <v>46028.84</v>
      </c>
      <c r="O80" s="43">
        <f>L80-M80-N80</f>
        <v>24000.000000000029</v>
      </c>
    </row>
    <row r="81" spans="1:14" s="12" customFormat="1" ht="38.25" x14ac:dyDescent="0.25">
      <c r="A81" s="80" t="s">
        <v>0</v>
      </c>
      <c r="B81" s="15" t="s">
        <v>11</v>
      </c>
      <c r="C81" s="80" t="s">
        <v>1</v>
      </c>
      <c r="D81" s="80"/>
      <c r="E81" s="80"/>
      <c r="F81" s="15" t="s">
        <v>2</v>
      </c>
      <c r="G81" s="80" t="s">
        <v>3</v>
      </c>
      <c r="H81" s="80"/>
      <c r="I81" s="15" t="s">
        <v>18</v>
      </c>
      <c r="J81" s="15" t="s">
        <v>4</v>
      </c>
      <c r="K81" s="15" t="s">
        <v>16</v>
      </c>
      <c r="L81" s="161"/>
      <c r="M81" s="161"/>
      <c r="N81" s="153"/>
    </row>
    <row r="82" spans="1:14" ht="33" customHeight="1" x14ac:dyDescent="0.25">
      <c r="A82" s="360" t="s">
        <v>104</v>
      </c>
      <c r="B82" s="360" t="s">
        <v>39</v>
      </c>
      <c r="C82" s="360">
        <v>272971.15999999997</v>
      </c>
      <c r="D82" s="360"/>
      <c r="E82" s="360"/>
      <c r="F82" s="297" t="s">
        <v>54</v>
      </c>
      <c r="G82" s="195">
        <v>81214.559999999998</v>
      </c>
      <c r="H82" s="195"/>
      <c r="I82" s="195"/>
      <c r="J82" s="7" t="s">
        <v>151</v>
      </c>
      <c r="K82" s="316">
        <f>C82-G82-G83-G84</f>
        <v>0</v>
      </c>
      <c r="L82" s="156"/>
      <c r="M82" s="157"/>
    </row>
    <row r="83" spans="1:14" ht="33" customHeight="1" x14ac:dyDescent="0.25">
      <c r="A83" s="360"/>
      <c r="B83" s="360"/>
      <c r="C83" s="360"/>
      <c r="D83" s="360"/>
      <c r="E83" s="360"/>
      <c r="F83" s="298"/>
      <c r="G83" s="195">
        <v>81214.559999999998</v>
      </c>
      <c r="H83" s="195"/>
      <c r="I83" s="195"/>
      <c r="J83" s="7" t="s">
        <v>202</v>
      </c>
      <c r="K83" s="317"/>
      <c r="L83" s="156"/>
      <c r="M83" s="157"/>
    </row>
    <row r="84" spans="1:14" ht="33" customHeight="1" x14ac:dyDescent="0.25">
      <c r="A84" s="360"/>
      <c r="B84" s="360"/>
      <c r="C84" s="360"/>
      <c r="D84" s="360"/>
      <c r="E84" s="360"/>
      <c r="F84" s="299"/>
      <c r="G84" s="195">
        <v>110542.04</v>
      </c>
      <c r="H84" s="195"/>
      <c r="I84" s="195"/>
      <c r="J84" s="7" t="s">
        <v>246</v>
      </c>
      <c r="K84" s="361"/>
      <c r="L84" s="156"/>
      <c r="M84" s="157"/>
    </row>
    <row r="85" spans="1:14" ht="29.25" customHeight="1" x14ac:dyDescent="0.25">
      <c r="B85" s="146"/>
      <c r="C85" s="85">
        <f>SUM(C82)</f>
        <v>272971.15999999997</v>
      </c>
      <c r="D85" s="85"/>
      <c r="E85" s="85"/>
      <c r="F85" s="184"/>
      <c r="G85" s="85">
        <f>SUM(G82:G84)</f>
        <v>272971.15999999997</v>
      </c>
      <c r="H85" s="85"/>
      <c r="I85" s="85"/>
      <c r="J85" s="85"/>
      <c r="K85" s="85">
        <f>SUM(K82)</f>
        <v>0</v>
      </c>
      <c r="L85" s="32"/>
    </row>
  </sheetData>
  <autoFilter ref="A8:O34"/>
  <mergeCells count="106">
    <mergeCell ref="C74:C76"/>
    <mergeCell ref="D74:D76"/>
    <mergeCell ref="E74:E76"/>
    <mergeCell ref="F74:F76"/>
    <mergeCell ref="K74:K76"/>
    <mergeCell ref="B19:B20"/>
    <mergeCell ref="C19:C20"/>
    <mergeCell ref="D19:D20"/>
    <mergeCell ref="A59:A61"/>
    <mergeCell ref="B59:B61"/>
    <mergeCell ref="C59:C61"/>
    <mergeCell ref="D59:D61"/>
    <mergeCell ref="E59:E61"/>
    <mergeCell ref="F59:F61"/>
    <mergeCell ref="A21:A24"/>
    <mergeCell ref="B21:B24"/>
    <mergeCell ref="C21:C24"/>
    <mergeCell ref="D21:D24"/>
    <mergeCell ref="E21:E24"/>
    <mergeCell ref="F21:F24"/>
    <mergeCell ref="K21:K24"/>
    <mergeCell ref="E19:E20"/>
    <mergeCell ref="F38:F39"/>
    <mergeCell ref="A40:A43"/>
    <mergeCell ref="A80:K80"/>
    <mergeCell ref="F67:F68"/>
    <mergeCell ref="K67:K68"/>
    <mergeCell ref="A67:A68"/>
    <mergeCell ref="B67:B68"/>
    <mergeCell ref="C67:C68"/>
    <mergeCell ref="D67:D68"/>
    <mergeCell ref="E67:E68"/>
    <mergeCell ref="D25:D32"/>
    <mergeCell ref="E25:E32"/>
    <mergeCell ref="F25:F32"/>
    <mergeCell ref="K25:K32"/>
    <mergeCell ref="C48:C51"/>
    <mergeCell ref="D48:D51"/>
    <mergeCell ref="E48:E51"/>
    <mergeCell ref="B52:B54"/>
    <mergeCell ref="C52:C54"/>
    <mergeCell ref="A52:A54"/>
    <mergeCell ref="A36:K36"/>
    <mergeCell ref="A38:A39"/>
    <mergeCell ref="B38:B39"/>
    <mergeCell ref="C38:C39"/>
    <mergeCell ref="D38:D39"/>
    <mergeCell ref="K38:K39"/>
    <mergeCell ref="A2:K2"/>
    <mergeCell ref="A4:K6"/>
    <mergeCell ref="A15:A18"/>
    <mergeCell ref="A13:A14"/>
    <mergeCell ref="B13:B14"/>
    <mergeCell ref="C13:C14"/>
    <mergeCell ref="B15:B18"/>
    <mergeCell ref="C15:C18"/>
    <mergeCell ref="E13:E14"/>
    <mergeCell ref="F13:F14"/>
    <mergeCell ref="D13:D14"/>
    <mergeCell ref="K13:K14"/>
    <mergeCell ref="D15:D18"/>
    <mergeCell ref="K15:K18"/>
    <mergeCell ref="F15:F18"/>
    <mergeCell ref="E9:E12"/>
    <mergeCell ref="A9:A12"/>
    <mergeCell ref="B9:B12"/>
    <mergeCell ref="C9:C12"/>
    <mergeCell ref="D9:D12"/>
    <mergeCell ref="F9:F12"/>
    <mergeCell ref="K9:K12"/>
    <mergeCell ref="E15:E18"/>
    <mergeCell ref="A82:A84"/>
    <mergeCell ref="B82:B84"/>
    <mergeCell ref="C82:C84"/>
    <mergeCell ref="D82:D84"/>
    <mergeCell ref="E82:E84"/>
    <mergeCell ref="K82:K84"/>
    <mergeCell ref="F82:F84"/>
    <mergeCell ref="A48:A51"/>
    <mergeCell ref="F40:F43"/>
    <mergeCell ref="K40:K43"/>
    <mergeCell ref="E40:E43"/>
    <mergeCell ref="A46:K46"/>
    <mergeCell ref="A72:K72"/>
    <mergeCell ref="A57:K57"/>
    <mergeCell ref="A64:K64"/>
    <mergeCell ref="K52:K54"/>
    <mergeCell ref="F52:F54"/>
    <mergeCell ref="E52:E54"/>
    <mergeCell ref="K48:K51"/>
    <mergeCell ref="B48:B51"/>
    <mergeCell ref="D52:D54"/>
    <mergeCell ref="K59:K61"/>
    <mergeCell ref="A74:A76"/>
    <mergeCell ref="B74:B76"/>
    <mergeCell ref="B40:B43"/>
    <mergeCell ref="C40:C43"/>
    <mergeCell ref="F48:F51"/>
    <mergeCell ref="D40:D43"/>
    <mergeCell ref="A25:A32"/>
    <mergeCell ref="B25:B32"/>
    <mergeCell ref="C25:C32"/>
    <mergeCell ref="K19:K20"/>
    <mergeCell ref="F19:F20"/>
    <mergeCell ref="E38:E39"/>
    <mergeCell ref="A19:A2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F19" sqref="F19"/>
    </sheetView>
  </sheetViews>
  <sheetFormatPr defaultRowHeight="15" x14ac:dyDescent="0.25"/>
  <cols>
    <col min="1" max="1" width="33.42578125" customWidth="1"/>
    <col min="2" max="2" width="29.5703125" customWidth="1"/>
    <col min="3" max="3" width="23" style="164" customWidth="1"/>
    <col min="4" max="4" width="21.42578125" customWidth="1"/>
    <col min="5" max="5" width="18.42578125" customWidth="1"/>
    <col min="6" max="6" width="18.7109375" customWidth="1"/>
    <col min="7" max="7" width="20" customWidth="1"/>
    <col min="8" max="8" width="23" customWidth="1"/>
    <col min="9" max="9" width="14.42578125" customWidth="1"/>
    <col min="10" max="10" width="16" customWidth="1"/>
    <col min="11" max="11" width="15.28515625" customWidth="1"/>
    <col min="12" max="12" width="15.5703125" customWidth="1"/>
    <col min="13" max="13" width="17" customWidth="1"/>
  </cols>
  <sheetData>
    <row r="2" spans="1:13" x14ac:dyDescent="0.25">
      <c r="A2" s="287" t="s">
        <v>28</v>
      </c>
      <c r="B2" s="287"/>
      <c r="C2" s="287"/>
      <c r="D2" s="287"/>
      <c r="E2" s="287"/>
      <c r="F2" s="287"/>
      <c r="G2" s="287"/>
      <c r="H2" s="287"/>
    </row>
    <row r="3" spans="1:13" x14ac:dyDescent="0.25">
      <c r="A3" s="287"/>
      <c r="B3" s="287"/>
      <c r="C3" s="287"/>
      <c r="D3" s="287"/>
      <c r="E3" s="287"/>
      <c r="F3" s="287"/>
      <c r="G3" s="287"/>
      <c r="H3" s="287"/>
    </row>
    <row r="6" spans="1:13" ht="51.75" customHeight="1" x14ac:dyDescent="0.25">
      <c r="A6" s="2" t="s">
        <v>0</v>
      </c>
      <c r="B6" s="4" t="s">
        <v>11</v>
      </c>
      <c r="C6" s="165" t="s">
        <v>1</v>
      </c>
      <c r="D6" s="2" t="s">
        <v>2</v>
      </c>
      <c r="E6" s="4" t="s">
        <v>17</v>
      </c>
      <c r="F6" s="4" t="s">
        <v>29</v>
      </c>
      <c r="G6" s="4" t="s">
        <v>4</v>
      </c>
      <c r="H6" s="4" t="s">
        <v>16</v>
      </c>
      <c r="I6" s="43"/>
      <c r="J6" s="37">
        <v>1000000</v>
      </c>
      <c r="K6" s="37">
        <f>C15</f>
        <v>341203.16</v>
      </c>
      <c r="L6" s="37">
        <v>1194</v>
      </c>
      <c r="M6" s="37">
        <f>J6-K6-L6</f>
        <v>657602.84000000008</v>
      </c>
    </row>
    <row r="7" spans="1:13" ht="26.25" customHeight="1" x14ac:dyDescent="0.25">
      <c r="A7" s="334" t="s">
        <v>209</v>
      </c>
      <c r="B7" s="334" t="s">
        <v>71</v>
      </c>
      <c r="C7" s="334">
        <v>135200</v>
      </c>
      <c r="D7" s="334" t="s">
        <v>210</v>
      </c>
      <c r="E7" s="50">
        <v>67600</v>
      </c>
      <c r="F7" s="50"/>
      <c r="G7" s="50" t="s">
        <v>217</v>
      </c>
      <c r="H7" s="389">
        <v>0</v>
      </c>
    </row>
    <row r="8" spans="1:13" ht="26.25" customHeight="1" x14ac:dyDescent="0.25">
      <c r="A8" s="334"/>
      <c r="B8" s="334"/>
      <c r="C8" s="334"/>
      <c r="D8" s="334"/>
      <c r="E8" s="50">
        <v>183.87</v>
      </c>
      <c r="F8" s="50"/>
      <c r="G8" s="50" t="s">
        <v>217</v>
      </c>
      <c r="H8" s="390"/>
      <c r="L8" s="37">
        <v>8996</v>
      </c>
    </row>
    <row r="9" spans="1:13" ht="26.25" customHeight="1" x14ac:dyDescent="0.25">
      <c r="A9" s="334"/>
      <c r="B9" s="334"/>
      <c r="C9" s="334"/>
      <c r="D9" s="334"/>
      <c r="E9" s="50">
        <v>67416.13</v>
      </c>
      <c r="F9" s="50"/>
      <c r="G9" s="50" t="s">
        <v>218</v>
      </c>
      <c r="H9" s="391"/>
    </row>
    <row r="10" spans="1:13" ht="26.25" customHeight="1" x14ac:dyDescent="0.25">
      <c r="A10" s="334" t="s">
        <v>282</v>
      </c>
      <c r="B10" s="334" t="s">
        <v>39</v>
      </c>
      <c r="C10" s="275">
        <v>128001.60000000001</v>
      </c>
      <c r="D10" s="334"/>
      <c r="E10" s="50">
        <v>64003.199999999997</v>
      </c>
      <c r="F10" s="50"/>
      <c r="G10" s="50" t="s">
        <v>246</v>
      </c>
      <c r="H10" s="389">
        <f>C10-E10-E11-E12</f>
        <v>0</v>
      </c>
    </row>
    <row r="11" spans="1:13" ht="26.25" customHeight="1" x14ac:dyDescent="0.25">
      <c r="A11" s="334"/>
      <c r="B11" s="334"/>
      <c r="C11" s="276"/>
      <c r="D11" s="334"/>
      <c r="E11" s="50">
        <v>25459.200000000001</v>
      </c>
      <c r="F11" s="50"/>
      <c r="G11" s="50" t="s">
        <v>270</v>
      </c>
      <c r="H11" s="390"/>
    </row>
    <row r="12" spans="1:13" ht="26.25" customHeight="1" x14ac:dyDescent="0.25">
      <c r="A12" s="334"/>
      <c r="B12" s="334"/>
      <c r="C12" s="277"/>
      <c r="D12" s="334"/>
      <c r="E12" s="50">
        <v>38539.199999999997</v>
      </c>
      <c r="F12" s="50"/>
      <c r="G12" s="50" t="s">
        <v>308</v>
      </c>
      <c r="H12" s="391"/>
    </row>
    <row r="13" spans="1:13" ht="26.25" customHeight="1" x14ac:dyDescent="0.25">
      <c r="A13" s="237" t="s">
        <v>307</v>
      </c>
      <c r="B13" s="237" t="s">
        <v>39</v>
      </c>
      <c r="C13" s="237">
        <v>78001.56</v>
      </c>
      <c r="D13" s="237"/>
      <c r="E13" s="237">
        <v>78001.56</v>
      </c>
      <c r="F13" s="50"/>
      <c r="G13" s="50" t="s">
        <v>309</v>
      </c>
      <c r="H13" s="50">
        <f>C13-E13</f>
        <v>0</v>
      </c>
    </row>
    <row r="14" spans="1:13" ht="26.25" customHeight="1" x14ac:dyDescent="0.25">
      <c r="A14" s="239"/>
      <c r="B14" s="239"/>
      <c r="C14" s="239"/>
      <c r="D14" s="239"/>
      <c r="E14" s="19"/>
      <c r="F14" s="19"/>
      <c r="G14" s="19"/>
      <c r="H14" s="19"/>
    </row>
    <row r="15" spans="1:13" ht="28.5" customHeight="1" x14ac:dyDescent="0.25">
      <c r="C15" s="100">
        <f>SUM(C7:C13)</f>
        <v>341203.16</v>
      </c>
      <c r="D15" s="100">
        <f t="shared" ref="D15:E15" si="0">SUM(D7:D13)</f>
        <v>0</v>
      </c>
      <c r="E15" s="100">
        <f t="shared" si="0"/>
        <v>341203.16000000003</v>
      </c>
      <c r="F15" s="16">
        <f>SUM(F7:F8)</f>
        <v>0</v>
      </c>
      <c r="G15" s="16">
        <f>SUM(G7:G8)</f>
        <v>0</v>
      </c>
      <c r="H15" s="16">
        <f>SUM(H7:H8)</f>
        <v>0</v>
      </c>
    </row>
    <row r="17" spans="5:5" x14ac:dyDescent="0.25">
      <c r="E17" s="115"/>
    </row>
  </sheetData>
  <mergeCells count="11">
    <mergeCell ref="A2:H3"/>
    <mergeCell ref="A7:A9"/>
    <mergeCell ref="B7:B9"/>
    <mergeCell ref="C7:C9"/>
    <mergeCell ref="D7:D9"/>
    <mergeCell ref="H7:H9"/>
    <mergeCell ref="A10:A12"/>
    <mergeCell ref="B10:B12"/>
    <mergeCell ref="C10:C12"/>
    <mergeCell ref="D10:D12"/>
    <mergeCell ref="H10:H1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4"/>
  <sheetViews>
    <sheetView workbookViewId="0">
      <selection activeCell="C17" sqref="C17"/>
    </sheetView>
  </sheetViews>
  <sheetFormatPr defaultRowHeight="15" x14ac:dyDescent="0.25"/>
  <cols>
    <col min="1" max="1" width="24.140625" customWidth="1"/>
    <col min="2" max="2" width="16.85546875" customWidth="1"/>
    <col min="3" max="3" width="16.7109375" customWidth="1"/>
    <col min="4" max="4" width="16.85546875" customWidth="1"/>
    <col min="5" max="5" width="17.85546875" customWidth="1"/>
    <col min="6" max="6" width="16.140625" customWidth="1"/>
    <col min="7" max="7" width="15.140625" customWidth="1"/>
    <col min="8" max="9" width="22.28515625" customWidth="1"/>
    <col min="10" max="10" width="21.140625" customWidth="1"/>
    <col min="11" max="11" width="28.140625" customWidth="1"/>
  </cols>
  <sheetData>
    <row r="4" spans="1:11" x14ac:dyDescent="0.25">
      <c r="I4" s="48" t="s">
        <v>47</v>
      </c>
      <c r="J4" s="48" t="s">
        <v>48</v>
      </c>
      <c r="K4" s="48"/>
    </row>
    <row r="5" spans="1:11" ht="38.25" x14ac:dyDescent="0.25">
      <c r="A5" s="2" t="s">
        <v>0</v>
      </c>
      <c r="B5" s="4" t="s">
        <v>11</v>
      </c>
      <c r="C5" s="30" t="s">
        <v>14</v>
      </c>
      <c r="D5" s="2" t="s">
        <v>2</v>
      </c>
      <c r="E5" s="4" t="s">
        <v>15</v>
      </c>
      <c r="F5" s="4" t="s">
        <v>143</v>
      </c>
      <c r="G5" s="4" t="s">
        <v>4</v>
      </c>
      <c r="H5" s="4" t="s">
        <v>16</v>
      </c>
      <c r="I5" s="16">
        <v>20000</v>
      </c>
      <c r="J5" s="16">
        <f>E10+H10</f>
        <v>19045.599999999999</v>
      </c>
      <c r="K5" s="16"/>
    </row>
    <row r="6" spans="1:11" ht="32.25" customHeight="1" x14ac:dyDescent="0.25">
      <c r="A6" s="393" t="s">
        <v>262</v>
      </c>
      <c r="B6" s="392" t="s">
        <v>39</v>
      </c>
      <c r="C6" s="392">
        <v>7941.88</v>
      </c>
      <c r="D6" s="392" t="s">
        <v>42</v>
      </c>
      <c r="E6" s="112">
        <v>1394.86</v>
      </c>
      <c r="F6" s="112">
        <v>146.28</v>
      </c>
      <c r="G6" s="3" t="s">
        <v>203</v>
      </c>
      <c r="H6" s="394">
        <f>C6-E6-E7-F6-E8</f>
        <v>0</v>
      </c>
    </row>
    <row r="7" spans="1:11" ht="28.5" customHeight="1" x14ac:dyDescent="0.25">
      <c r="A7" s="393"/>
      <c r="B7" s="392"/>
      <c r="C7" s="392"/>
      <c r="D7" s="392"/>
      <c r="E7" s="112">
        <v>1394.86</v>
      </c>
      <c r="F7" s="112"/>
      <c r="G7" s="3" t="s">
        <v>202</v>
      </c>
      <c r="H7" s="392"/>
    </row>
    <row r="8" spans="1:11" ht="28.5" customHeight="1" x14ac:dyDescent="0.25">
      <c r="A8" s="393"/>
      <c r="B8" s="392"/>
      <c r="C8" s="392"/>
      <c r="D8" s="392"/>
      <c r="E8" s="112">
        <v>5005.88</v>
      </c>
      <c r="F8" s="112"/>
      <c r="G8" s="3" t="s">
        <v>270</v>
      </c>
      <c r="H8" s="392"/>
    </row>
    <row r="9" spans="1:11" ht="28.5" customHeight="1" x14ac:dyDescent="0.25">
      <c r="A9" s="215" t="s">
        <v>261</v>
      </c>
      <c r="B9" s="217" t="s">
        <v>259</v>
      </c>
      <c r="C9" s="112">
        <v>11250</v>
      </c>
      <c r="D9" s="214"/>
      <c r="E9" s="112">
        <v>11250</v>
      </c>
      <c r="F9" s="112"/>
      <c r="G9" s="3" t="s">
        <v>260</v>
      </c>
      <c r="H9" s="216">
        <f>C9-E9</f>
        <v>0</v>
      </c>
    </row>
    <row r="10" spans="1:11" ht="37.5" customHeight="1" x14ac:dyDescent="0.25">
      <c r="E10" s="99">
        <f>SUM(E6:E9)</f>
        <v>19045.599999999999</v>
      </c>
      <c r="F10" s="99"/>
      <c r="H10" s="100">
        <f>SUM(H6:H9)</f>
        <v>0</v>
      </c>
    </row>
    <row r="14" spans="1:11" x14ac:dyDescent="0.25">
      <c r="H14" s="115"/>
    </row>
  </sheetData>
  <mergeCells count="5">
    <mergeCell ref="D6:D8"/>
    <mergeCell ref="A6:A8"/>
    <mergeCell ref="B6:B8"/>
    <mergeCell ref="C6:C8"/>
    <mergeCell ref="H6:H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40" zoomScale="115" zoomScaleNormal="115" workbookViewId="0">
      <selection activeCell="J55" sqref="J55"/>
    </sheetView>
  </sheetViews>
  <sheetFormatPr defaultRowHeight="15" x14ac:dyDescent="0.25"/>
  <cols>
    <col min="1" max="1" width="38.5703125" customWidth="1"/>
    <col min="2" max="2" width="14.85546875" style="104" customWidth="1"/>
    <col min="3" max="3" width="15.85546875" style="100" customWidth="1"/>
    <col min="4" max="4" width="13.85546875" customWidth="1"/>
    <col min="5" max="5" width="30.7109375" customWidth="1"/>
    <col min="6" max="6" width="14.7109375" customWidth="1"/>
    <col min="7" max="7" width="11.5703125" customWidth="1"/>
    <col min="8" max="8" width="15.7109375" customWidth="1"/>
    <col min="9" max="9" width="11.85546875" style="102" customWidth="1"/>
    <col min="10" max="10" width="22.85546875" style="109" customWidth="1"/>
    <col min="11" max="11" width="74" style="76" customWidth="1"/>
  </cols>
  <sheetData>
    <row r="1" spans="1:11" s="9" customFormat="1" ht="61.5" customHeight="1" x14ac:dyDescent="0.25">
      <c r="A1" s="402" t="s">
        <v>69</v>
      </c>
      <c r="B1" s="402"/>
      <c r="C1" s="402"/>
      <c r="D1" s="402"/>
      <c r="E1" s="402"/>
      <c r="F1" s="402"/>
      <c r="G1" s="402"/>
      <c r="H1" s="402"/>
      <c r="I1" s="402"/>
      <c r="J1" s="107"/>
      <c r="K1" s="76"/>
    </row>
    <row r="2" spans="1:11" s="9" customFormat="1" ht="18.75" customHeight="1" x14ac:dyDescent="0.25">
      <c r="B2" s="104"/>
      <c r="C2" s="100"/>
      <c r="I2" s="102"/>
      <c r="J2" s="107"/>
      <c r="K2" s="76"/>
    </row>
    <row r="3" spans="1:11" s="9" customFormat="1" ht="27.75" customHeight="1" x14ac:dyDescent="0.25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167"/>
    </row>
    <row r="4" spans="1:11" s="9" customFormat="1" ht="52.5" customHeight="1" x14ac:dyDescent="0.25">
      <c r="A4" s="2" t="s">
        <v>0</v>
      </c>
      <c r="B4" s="4" t="s">
        <v>11</v>
      </c>
      <c r="C4" s="69" t="s">
        <v>14</v>
      </c>
      <c r="D4" s="4"/>
      <c r="E4" s="4" t="s">
        <v>2</v>
      </c>
      <c r="F4" s="4" t="s">
        <v>17</v>
      </c>
      <c r="G4" s="4" t="s">
        <v>45</v>
      </c>
      <c r="H4" s="4" t="s">
        <v>233</v>
      </c>
      <c r="I4" s="4" t="s">
        <v>4</v>
      </c>
      <c r="J4" s="108" t="s">
        <v>16</v>
      </c>
      <c r="K4" s="168"/>
    </row>
    <row r="5" spans="1:11" s="8" customFormat="1" ht="18" customHeight="1" x14ac:dyDescent="0.25">
      <c r="A5" s="337" t="s">
        <v>211</v>
      </c>
      <c r="B5" s="311" t="s">
        <v>71</v>
      </c>
      <c r="C5" s="311">
        <v>107040</v>
      </c>
      <c r="D5" s="311"/>
      <c r="E5" s="311" t="s">
        <v>70</v>
      </c>
      <c r="F5" s="59">
        <v>4816.8</v>
      </c>
      <c r="G5" s="59"/>
      <c r="H5" s="89" t="s">
        <v>219</v>
      </c>
      <c r="I5" s="89"/>
      <c r="J5" s="404">
        <f>C5-F5-F6-F7-F8</f>
        <v>0</v>
      </c>
      <c r="K5" s="116" t="s">
        <v>76</v>
      </c>
    </row>
    <row r="6" spans="1:11" s="8" customFormat="1" ht="18" customHeight="1" x14ac:dyDescent="0.25">
      <c r="A6" s="338"/>
      <c r="B6" s="312"/>
      <c r="C6" s="312"/>
      <c r="D6" s="312"/>
      <c r="E6" s="312"/>
      <c r="F6" s="59">
        <v>31041.599999999999</v>
      </c>
      <c r="G6" s="59"/>
      <c r="H6" s="89" t="s">
        <v>219</v>
      </c>
      <c r="I6" s="89"/>
      <c r="J6" s="405"/>
      <c r="K6" s="116" t="s">
        <v>76</v>
      </c>
    </row>
    <row r="7" spans="1:11" s="8" customFormat="1" ht="18" customHeight="1" x14ac:dyDescent="0.25">
      <c r="A7" s="338"/>
      <c r="B7" s="312"/>
      <c r="C7" s="312"/>
      <c r="D7" s="312"/>
      <c r="E7" s="312"/>
      <c r="F7" s="59">
        <v>22478.400000000001</v>
      </c>
      <c r="G7" s="59"/>
      <c r="H7" s="89" t="s">
        <v>234</v>
      </c>
      <c r="I7" s="89"/>
      <c r="J7" s="405"/>
      <c r="K7" s="116" t="s">
        <v>76</v>
      </c>
    </row>
    <row r="8" spans="1:11" s="8" customFormat="1" ht="18" customHeight="1" x14ac:dyDescent="0.25">
      <c r="A8" s="339"/>
      <c r="B8" s="313"/>
      <c r="C8" s="313"/>
      <c r="D8" s="313"/>
      <c r="E8" s="313"/>
      <c r="F8" s="223">
        <v>48703.199999999997</v>
      </c>
      <c r="G8" s="223"/>
      <c r="H8" s="89" t="s">
        <v>276</v>
      </c>
      <c r="I8" s="89"/>
      <c r="J8" s="406"/>
      <c r="K8" s="116" t="s">
        <v>76</v>
      </c>
    </row>
    <row r="9" spans="1:11" s="8" customFormat="1" ht="18" customHeight="1" x14ac:dyDescent="0.25">
      <c r="A9" s="192" t="s">
        <v>212</v>
      </c>
      <c r="B9" s="192" t="s">
        <v>31</v>
      </c>
      <c r="C9" s="191">
        <v>49001.4</v>
      </c>
      <c r="D9" s="191"/>
      <c r="E9" s="191" t="s">
        <v>78</v>
      </c>
      <c r="F9" s="59">
        <v>49001.4</v>
      </c>
      <c r="G9" s="59"/>
      <c r="H9" s="89" t="s">
        <v>242</v>
      </c>
      <c r="I9" s="89"/>
      <c r="J9" s="202">
        <f>C9-F9</f>
        <v>0</v>
      </c>
      <c r="K9" s="116" t="s">
        <v>77</v>
      </c>
    </row>
    <row r="10" spans="1:11" s="8" customFormat="1" ht="18" customHeight="1" x14ac:dyDescent="0.25">
      <c r="A10" s="180" t="s">
        <v>249</v>
      </c>
      <c r="B10" s="181" t="s">
        <v>55</v>
      </c>
      <c r="C10" s="182">
        <v>1800</v>
      </c>
      <c r="D10" s="181"/>
      <c r="E10" s="181" t="s">
        <v>213</v>
      </c>
      <c r="F10" s="59">
        <v>1800</v>
      </c>
      <c r="G10" s="59"/>
      <c r="H10" s="89" t="s">
        <v>214</v>
      </c>
      <c r="I10" s="89"/>
      <c r="J10" s="183">
        <f>C10-F10</f>
        <v>0</v>
      </c>
      <c r="K10" s="116" t="s">
        <v>76</v>
      </c>
    </row>
    <row r="11" spans="1:11" s="8" customFormat="1" ht="18" customHeight="1" x14ac:dyDescent="0.25">
      <c r="A11" s="192" t="s">
        <v>248</v>
      </c>
      <c r="B11" s="192" t="s">
        <v>55</v>
      </c>
      <c r="C11" s="191">
        <v>56202.3</v>
      </c>
      <c r="D11" s="191"/>
      <c r="E11" s="191" t="s">
        <v>247</v>
      </c>
      <c r="F11" s="59">
        <v>56202.3</v>
      </c>
      <c r="G11" s="59"/>
      <c r="H11" s="89" t="s">
        <v>258</v>
      </c>
      <c r="I11" s="89"/>
      <c r="J11" s="196">
        <v>0</v>
      </c>
      <c r="K11" s="116" t="s">
        <v>76</v>
      </c>
    </row>
    <row r="12" spans="1:11" ht="18" customHeight="1" x14ac:dyDescent="0.25">
      <c r="A12" s="192" t="s">
        <v>250</v>
      </c>
      <c r="B12" s="193" t="s">
        <v>31</v>
      </c>
      <c r="C12" s="95">
        <v>36538.32</v>
      </c>
      <c r="D12" s="67"/>
      <c r="E12" s="68" t="s">
        <v>252</v>
      </c>
      <c r="F12" s="222">
        <v>36538.32</v>
      </c>
      <c r="G12" s="67"/>
      <c r="H12" s="89" t="s">
        <v>286</v>
      </c>
      <c r="I12" s="89"/>
      <c r="J12" s="166">
        <f>C12-F12</f>
        <v>0</v>
      </c>
      <c r="K12" s="70" t="s">
        <v>72</v>
      </c>
    </row>
    <row r="13" spans="1:11" ht="18" customHeight="1" x14ac:dyDescent="0.25">
      <c r="A13" s="337" t="s">
        <v>251</v>
      </c>
      <c r="B13" s="311" t="s">
        <v>31</v>
      </c>
      <c r="C13" s="311">
        <v>10676.25</v>
      </c>
      <c r="D13" s="311"/>
      <c r="E13" s="311" t="s">
        <v>253</v>
      </c>
      <c r="F13" s="195">
        <v>4500</v>
      </c>
      <c r="G13" s="67"/>
      <c r="H13" s="89" t="s">
        <v>276</v>
      </c>
      <c r="I13" s="89"/>
      <c r="J13" s="395">
        <f>C13-F13-F14</f>
        <v>0</v>
      </c>
      <c r="K13" s="70" t="s">
        <v>75</v>
      </c>
    </row>
    <row r="14" spans="1:11" ht="18" customHeight="1" x14ac:dyDescent="0.25">
      <c r="A14" s="338"/>
      <c r="B14" s="312"/>
      <c r="C14" s="312"/>
      <c r="D14" s="312"/>
      <c r="E14" s="312"/>
      <c r="F14" s="224">
        <v>6176.25</v>
      </c>
      <c r="G14" s="67"/>
      <c r="H14" s="89" t="s">
        <v>316</v>
      </c>
      <c r="I14" s="89"/>
      <c r="J14" s="396"/>
      <c r="K14" s="70" t="s">
        <v>75</v>
      </c>
    </row>
    <row r="15" spans="1:11" ht="18" customHeight="1" x14ac:dyDescent="0.25">
      <c r="A15" s="337" t="s">
        <v>254</v>
      </c>
      <c r="B15" s="311" t="s">
        <v>31</v>
      </c>
      <c r="C15" s="311">
        <v>34714.400000000001</v>
      </c>
      <c r="D15" s="311"/>
      <c r="E15" s="311" t="s">
        <v>255</v>
      </c>
      <c r="F15" s="195">
        <v>2097.1999999999998</v>
      </c>
      <c r="G15" s="67"/>
      <c r="H15" s="89" t="s">
        <v>285</v>
      </c>
      <c r="I15" s="89"/>
      <c r="J15" s="398">
        <f>C15-F15-F16-F17</f>
        <v>0</v>
      </c>
      <c r="K15" s="70" t="s">
        <v>72</v>
      </c>
    </row>
    <row r="16" spans="1:11" ht="18" customHeight="1" x14ac:dyDescent="0.25">
      <c r="A16" s="338"/>
      <c r="B16" s="312"/>
      <c r="C16" s="312"/>
      <c r="D16" s="312"/>
      <c r="E16" s="312"/>
      <c r="F16" s="223">
        <v>12000.8</v>
      </c>
      <c r="G16" s="67"/>
      <c r="H16" s="89" t="s">
        <v>285</v>
      </c>
      <c r="I16" s="89"/>
      <c r="J16" s="403"/>
      <c r="K16" s="70" t="s">
        <v>72</v>
      </c>
    </row>
    <row r="17" spans="1:11" ht="18" customHeight="1" x14ac:dyDescent="0.25">
      <c r="A17" s="339"/>
      <c r="B17" s="313"/>
      <c r="C17" s="313"/>
      <c r="D17" s="313"/>
      <c r="E17" s="313"/>
      <c r="F17" s="223">
        <v>20616.400000000001</v>
      </c>
      <c r="G17" s="67"/>
      <c r="H17" s="89" t="s">
        <v>289</v>
      </c>
      <c r="I17" s="89"/>
      <c r="J17" s="396"/>
      <c r="K17" s="70" t="s">
        <v>72</v>
      </c>
    </row>
    <row r="18" spans="1:11" ht="18" customHeight="1" x14ac:dyDescent="0.25">
      <c r="A18" s="337" t="s">
        <v>256</v>
      </c>
      <c r="B18" s="311" t="s">
        <v>31</v>
      </c>
      <c r="C18" s="311">
        <v>3463.6</v>
      </c>
      <c r="D18" s="311"/>
      <c r="E18" s="311" t="s">
        <v>257</v>
      </c>
      <c r="F18" s="195">
        <v>1400</v>
      </c>
      <c r="G18" s="67"/>
      <c r="H18" s="89" t="s">
        <v>286</v>
      </c>
      <c r="I18" s="89"/>
      <c r="J18" s="398">
        <f>C18-F18-F19-F20</f>
        <v>0</v>
      </c>
      <c r="K18" s="70" t="s">
        <v>72</v>
      </c>
    </row>
    <row r="19" spans="1:11" ht="18" customHeight="1" x14ac:dyDescent="0.25">
      <c r="A19" s="338"/>
      <c r="B19" s="312"/>
      <c r="C19" s="312"/>
      <c r="D19" s="312"/>
      <c r="E19" s="312"/>
      <c r="F19" s="223">
        <v>1653.4</v>
      </c>
      <c r="G19" s="67"/>
      <c r="H19" s="89" t="s">
        <v>286</v>
      </c>
      <c r="I19" s="89"/>
      <c r="J19" s="399"/>
      <c r="K19" s="70" t="s">
        <v>72</v>
      </c>
    </row>
    <row r="20" spans="1:11" ht="18" customHeight="1" x14ac:dyDescent="0.25">
      <c r="A20" s="339"/>
      <c r="B20" s="313"/>
      <c r="C20" s="313"/>
      <c r="D20" s="313"/>
      <c r="E20" s="313"/>
      <c r="F20" s="224">
        <v>410.2</v>
      </c>
      <c r="G20" s="67"/>
      <c r="H20" s="89" t="s">
        <v>288</v>
      </c>
      <c r="I20" s="89"/>
      <c r="J20" s="400"/>
      <c r="K20" s="70" t="s">
        <v>72</v>
      </c>
    </row>
    <row r="21" spans="1:11" ht="18" customHeight="1" x14ac:dyDescent="0.25">
      <c r="A21" s="193" t="s">
        <v>283</v>
      </c>
      <c r="B21" s="177" t="s">
        <v>71</v>
      </c>
      <c r="C21" s="222">
        <v>1849</v>
      </c>
      <c r="D21" s="67"/>
      <c r="E21" s="194" t="s">
        <v>213</v>
      </c>
      <c r="F21" s="223">
        <v>1849</v>
      </c>
      <c r="G21" s="67"/>
      <c r="H21" s="89" t="s">
        <v>287</v>
      </c>
      <c r="I21" s="89"/>
      <c r="J21" s="166">
        <f>C21-F21</f>
        <v>0</v>
      </c>
      <c r="K21" s="70" t="s">
        <v>76</v>
      </c>
    </row>
    <row r="22" spans="1:11" ht="18" customHeight="1" x14ac:dyDescent="0.25">
      <c r="A22" s="397" t="s">
        <v>284</v>
      </c>
      <c r="B22" s="401" t="s">
        <v>55</v>
      </c>
      <c r="C22" s="302">
        <v>53928</v>
      </c>
      <c r="D22" s="397"/>
      <c r="E22" s="397" t="s">
        <v>247</v>
      </c>
      <c r="F22" s="227">
        <v>19260</v>
      </c>
      <c r="G22" s="67"/>
      <c r="H22" s="89" t="s">
        <v>287</v>
      </c>
      <c r="I22" s="89"/>
      <c r="J22" s="395">
        <f>C22-F22-F23</f>
        <v>0</v>
      </c>
      <c r="K22" s="70" t="s">
        <v>76</v>
      </c>
    </row>
    <row r="23" spans="1:11" ht="18" customHeight="1" x14ac:dyDescent="0.25">
      <c r="A23" s="397"/>
      <c r="B23" s="401"/>
      <c r="C23" s="304"/>
      <c r="D23" s="397"/>
      <c r="E23" s="397"/>
      <c r="F23" s="227">
        <v>34668</v>
      </c>
      <c r="G23" s="67"/>
      <c r="H23" s="89" t="s">
        <v>316</v>
      </c>
      <c r="I23" s="89"/>
      <c r="J23" s="396"/>
      <c r="K23" s="70" t="s">
        <v>76</v>
      </c>
    </row>
    <row r="24" spans="1:11" ht="18" customHeight="1" x14ac:dyDescent="0.25">
      <c r="A24" s="337" t="s">
        <v>294</v>
      </c>
      <c r="B24" s="311" t="s">
        <v>31</v>
      </c>
      <c r="C24" s="311">
        <v>100879.24</v>
      </c>
      <c r="D24" s="311"/>
      <c r="E24" s="311" t="s">
        <v>295</v>
      </c>
      <c r="F24" s="227">
        <v>19184.759999999998</v>
      </c>
      <c r="G24" s="67"/>
      <c r="H24" s="89" t="s">
        <v>363</v>
      </c>
      <c r="I24" s="89"/>
      <c r="J24" s="395">
        <f>C24-F24-F25</f>
        <v>71606.360000000015</v>
      </c>
      <c r="K24" s="70" t="s">
        <v>72</v>
      </c>
    </row>
    <row r="25" spans="1:11" ht="18" customHeight="1" x14ac:dyDescent="0.25">
      <c r="A25" s="339"/>
      <c r="B25" s="313"/>
      <c r="C25" s="313"/>
      <c r="D25" s="313"/>
      <c r="E25" s="313"/>
      <c r="F25" s="249">
        <v>10088.120000000001</v>
      </c>
      <c r="G25" s="67"/>
      <c r="H25" s="89" t="s">
        <v>363</v>
      </c>
      <c r="I25" s="89"/>
      <c r="J25" s="396"/>
      <c r="K25" s="70"/>
    </row>
    <row r="26" spans="1:11" ht="18" customHeight="1" x14ac:dyDescent="0.25">
      <c r="A26" s="193" t="s">
        <v>297</v>
      </c>
      <c r="B26" s="177" t="s">
        <v>31</v>
      </c>
      <c r="C26" s="226">
        <v>191731.68</v>
      </c>
      <c r="D26" s="67"/>
      <c r="E26" s="194" t="s">
        <v>296</v>
      </c>
      <c r="F26" s="227">
        <v>43122.239999999998</v>
      </c>
      <c r="G26" s="67"/>
      <c r="H26" s="89" t="s">
        <v>317</v>
      </c>
      <c r="I26" s="89"/>
      <c r="J26" s="166">
        <f>C26-F26</f>
        <v>148609.44</v>
      </c>
      <c r="K26" s="70" t="s">
        <v>72</v>
      </c>
    </row>
    <row r="27" spans="1:11" ht="18" customHeight="1" x14ac:dyDescent="0.25">
      <c r="A27" s="193" t="s">
        <v>298</v>
      </c>
      <c r="B27" s="177" t="s">
        <v>31</v>
      </c>
      <c r="C27" s="226">
        <v>12397.5</v>
      </c>
      <c r="D27" s="67"/>
      <c r="E27" s="194" t="s">
        <v>299</v>
      </c>
      <c r="F27" s="227">
        <v>12397.5</v>
      </c>
      <c r="G27" s="67"/>
      <c r="H27" s="89" t="s">
        <v>361</v>
      </c>
      <c r="I27" s="89"/>
      <c r="J27" s="166">
        <f>C27-F27</f>
        <v>0</v>
      </c>
      <c r="K27" s="70" t="s">
        <v>72</v>
      </c>
    </row>
    <row r="28" spans="1:11" ht="18" customHeight="1" x14ac:dyDescent="0.25">
      <c r="A28" s="337" t="s">
        <v>300</v>
      </c>
      <c r="B28" s="311" t="s">
        <v>55</v>
      </c>
      <c r="C28" s="311">
        <v>280107.36</v>
      </c>
      <c r="D28" s="311"/>
      <c r="E28" s="311" t="s">
        <v>301</v>
      </c>
      <c r="F28" s="227">
        <v>126750</v>
      </c>
      <c r="G28" s="67"/>
      <c r="H28" s="89" t="s">
        <v>324</v>
      </c>
      <c r="I28" s="89"/>
      <c r="J28" s="395">
        <f>C28-F28-F29</f>
        <v>0</v>
      </c>
      <c r="K28" s="70" t="s">
        <v>77</v>
      </c>
    </row>
    <row r="29" spans="1:11" ht="18" customHeight="1" x14ac:dyDescent="0.25">
      <c r="A29" s="339"/>
      <c r="B29" s="313"/>
      <c r="C29" s="313"/>
      <c r="D29" s="313"/>
      <c r="E29" s="313"/>
      <c r="F29" s="249">
        <v>153357.35999999999</v>
      </c>
      <c r="G29" s="67"/>
      <c r="H29" s="89" t="s">
        <v>367</v>
      </c>
      <c r="I29" s="89"/>
      <c r="J29" s="396"/>
      <c r="K29" s="70"/>
    </row>
    <row r="30" spans="1:11" ht="18" customHeight="1" x14ac:dyDescent="0.25">
      <c r="A30" s="193" t="s">
        <v>302</v>
      </c>
      <c r="B30" s="177" t="s">
        <v>71</v>
      </c>
      <c r="C30" s="226">
        <v>22815</v>
      </c>
      <c r="D30" s="67"/>
      <c r="E30" s="194" t="s">
        <v>303</v>
      </c>
      <c r="F30" s="227">
        <v>4500</v>
      </c>
      <c r="G30" s="67"/>
      <c r="H30" s="89" t="s">
        <v>362</v>
      </c>
      <c r="I30" s="89"/>
      <c r="J30" s="166">
        <f>C30-F30</f>
        <v>18315</v>
      </c>
      <c r="K30" s="70" t="s">
        <v>75</v>
      </c>
    </row>
    <row r="31" spans="1:11" ht="18" customHeight="1" x14ac:dyDescent="0.25">
      <c r="A31" s="193" t="s">
        <v>304</v>
      </c>
      <c r="B31" s="177" t="s">
        <v>71</v>
      </c>
      <c r="C31" s="226">
        <v>72927</v>
      </c>
      <c r="D31" s="67"/>
      <c r="E31" s="194" t="s">
        <v>306</v>
      </c>
      <c r="F31" s="227">
        <v>7292.7</v>
      </c>
      <c r="G31" s="67"/>
      <c r="H31" s="89" t="s">
        <v>364</v>
      </c>
      <c r="I31" s="89"/>
      <c r="J31" s="166">
        <f t="shared" ref="J31:J33" si="0">C31-F31</f>
        <v>65634.3</v>
      </c>
      <c r="K31" s="70" t="s">
        <v>305</v>
      </c>
    </row>
    <row r="32" spans="1:11" ht="18" customHeight="1" x14ac:dyDescent="0.25">
      <c r="A32" s="250" t="s">
        <v>330</v>
      </c>
      <c r="B32" s="251" t="s">
        <v>71</v>
      </c>
      <c r="C32" s="248">
        <v>233953.65</v>
      </c>
      <c r="D32" s="67"/>
      <c r="E32" s="194" t="s">
        <v>331</v>
      </c>
      <c r="F32" s="249">
        <v>23396.52</v>
      </c>
      <c r="G32" s="67"/>
      <c r="H32" s="89" t="s">
        <v>365</v>
      </c>
      <c r="I32" s="89"/>
      <c r="J32" s="166">
        <f t="shared" si="0"/>
        <v>210557.13</v>
      </c>
      <c r="K32" s="70"/>
    </row>
    <row r="33" spans="1:11" ht="18" customHeight="1" x14ac:dyDescent="0.25">
      <c r="A33" s="250" t="s">
        <v>332</v>
      </c>
      <c r="B33" s="251" t="s">
        <v>71</v>
      </c>
      <c r="C33" s="248">
        <v>114395.814</v>
      </c>
      <c r="D33" s="67"/>
      <c r="E33" s="194" t="s">
        <v>333</v>
      </c>
      <c r="F33" s="249">
        <v>6640.92</v>
      </c>
      <c r="G33" s="67"/>
      <c r="H33" s="89" t="s">
        <v>365</v>
      </c>
      <c r="I33" s="89"/>
      <c r="J33" s="166">
        <f t="shared" si="0"/>
        <v>107754.894</v>
      </c>
      <c r="K33" s="70" t="s">
        <v>76</v>
      </c>
    </row>
    <row r="34" spans="1:11" ht="18" customHeight="1" x14ac:dyDescent="0.25">
      <c r="A34" s="337" t="s">
        <v>334</v>
      </c>
      <c r="B34" s="311" t="s">
        <v>55</v>
      </c>
      <c r="C34" s="311">
        <v>6738.48</v>
      </c>
      <c r="D34" s="311"/>
      <c r="E34" s="311" t="s">
        <v>257</v>
      </c>
      <c r="F34" s="249">
        <v>1764</v>
      </c>
      <c r="G34" s="67"/>
      <c r="H34" s="89" t="s">
        <v>319</v>
      </c>
      <c r="I34" s="89"/>
      <c r="J34" s="395">
        <f>C34-F34-F35</f>
        <v>0</v>
      </c>
      <c r="K34" s="70"/>
    </row>
    <row r="35" spans="1:11" ht="18" customHeight="1" x14ac:dyDescent="0.25">
      <c r="A35" s="339"/>
      <c r="B35" s="313"/>
      <c r="C35" s="313"/>
      <c r="D35" s="313"/>
      <c r="E35" s="313"/>
      <c r="F35" s="249">
        <v>4974.4799999999996</v>
      </c>
      <c r="G35" s="67"/>
      <c r="H35" s="89" t="s">
        <v>367</v>
      </c>
      <c r="I35" s="89"/>
      <c r="J35" s="396"/>
      <c r="K35" s="70"/>
    </row>
    <row r="36" spans="1:11" ht="18" customHeight="1" x14ac:dyDescent="0.25">
      <c r="A36" s="250" t="s">
        <v>335</v>
      </c>
      <c r="B36" s="251" t="s">
        <v>31</v>
      </c>
      <c r="C36" s="248">
        <v>48639.15</v>
      </c>
      <c r="D36" s="67"/>
      <c r="E36" s="194" t="s">
        <v>295</v>
      </c>
      <c r="F36" s="249">
        <v>18900</v>
      </c>
      <c r="G36" s="67"/>
      <c r="H36" s="89" t="s">
        <v>317</v>
      </c>
      <c r="I36" s="89"/>
      <c r="J36" s="166">
        <f>C36-F36</f>
        <v>29739.15</v>
      </c>
      <c r="K36" s="70"/>
    </row>
    <row r="37" spans="1:11" ht="18" customHeight="1" x14ac:dyDescent="0.25">
      <c r="A37" s="250" t="s">
        <v>336</v>
      </c>
      <c r="B37" s="251" t="s">
        <v>55</v>
      </c>
      <c r="C37" s="248">
        <v>6541.92</v>
      </c>
      <c r="D37" s="67"/>
      <c r="E37" s="194" t="s">
        <v>337</v>
      </c>
      <c r="F37" s="249">
        <v>6541.92</v>
      </c>
      <c r="G37" s="67"/>
      <c r="H37" s="89" t="s">
        <v>367</v>
      </c>
      <c r="I37" s="89"/>
      <c r="J37" s="166">
        <f t="shared" ref="J37:J40" si="1">C37-F37</f>
        <v>0</v>
      </c>
      <c r="K37" s="70"/>
    </row>
    <row r="38" spans="1:11" ht="18" customHeight="1" x14ac:dyDescent="0.25">
      <c r="A38" s="250" t="s">
        <v>338</v>
      </c>
      <c r="B38" s="251" t="s">
        <v>55</v>
      </c>
      <c r="C38" s="248">
        <v>102492</v>
      </c>
      <c r="D38" s="67"/>
      <c r="E38" s="194" t="s">
        <v>339</v>
      </c>
      <c r="F38" s="249">
        <v>39000</v>
      </c>
      <c r="G38" s="67"/>
      <c r="H38" s="89" t="s">
        <v>365</v>
      </c>
      <c r="I38" s="89"/>
      <c r="J38" s="166">
        <f t="shared" si="1"/>
        <v>63492</v>
      </c>
      <c r="K38" s="70"/>
    </row>
    <row r="39" spans="1:11" ht="18" customHeight="1" x14ac:dyDescent="0.25">
      <c r="A39" s="250" t="s">
        <v>340</v>
      </c>
      <c r="B39" s="251" t="s">
        <v>71</v>
      </c>
      <c r="C39" s="248">
        <v>82983.263999999996</v>
      </c>
      <c r="D39" s="67"/>
      <c r="E39" s="194" t="s">
        <v>341</v>
      </c>
      <c r="F39" s="249">
        <v>0</v>
      </c>
      <c r="G39" s="67"/>
      <c r="H39" s="89"/>
      <c r="I39" s="89"/>
      <c r="J39" s="166">
        <f t="shared" si="1"/>
        <v>82983.263999999996</v>
      </c>
      <c r="K39" s="70"/>
    </row>
    <row r="40" spans="1:11" ht="18" customHeight="1" x14ac:dyDescent="0.25">
      <c r="A40" s="250" t="s">
        <v>342</v>
      </c>
      <c r="B40" s="251" t="s">
        <v>71</v>
      </c>
      <c r="C40" s="248">
        <v>71602.2</v>
      </c>
      <c r="D40" s="67"/>
      <c r="E40" s="194" t="s">
        <v>343</v>
      </c>
      <c r="F40" s="249">
        <v>0</v>
      </c>
      <c r="G40" s="67"/>
      <c r="H40" s="89"/>
      <c r="I40" s="89"/>
      <c r="J40" s="166">
        <f t="shared" si="1"/>
        <v>71602.2</v>
      </c>
      <c r="K40" s="70"/>
    </row>
    <row r="41" spans="1:11" ht="18" customHeight="1" x14ac:dyDescent="0.25">
      <c r="A41" s="337" t="s">
        <v>344</v>
      </c>
      <c r="B41" s="311" t="s">
        <v>31</v>
      </c>
      <c r="C41" s="311">
        <v>304848</v>
      </c>
      <c r="D41" s="311"/>
      <c r="E41" s="311" t="s">
        <v>345</v>
      </c>
      <c r="F41" s="249">
        <v>208800</v>
      </c>
      <c r="G41" s="67"/>
      <c r="H41" s="89" t="s">
        <v>366</v>
      </c>
      <c r="I41" s="89"/>
      <c r="J41" s="395">
        <f>C41-F41-F42</f>
        <v>0</v>
      </c>
      <c r="K41" s="70"/>
    </row>
    <row r="42" spans="1:11" ht="18" customHeight="1" x14ac:dyDescent="0.25">
      <c r="A42" s="339"/>
      <c r="B42" s="313"/>
      <c r="C42" s="313"/>
      <c r="D42" s="313"/>
      <c r="E42" s="313"/>
      <c r="F42" s="249">
        <v>96048</v>
      </c>
      <c r="G42" s="67"/>
      <c r="H42" s="89" t="s">
        <v>317</v>
      </c>
      <c r="I42" s="89"/>
      <c r="J42" s="396"/>
      <c r="K42" s="70"/>
    </row>
    <row r="43" spans="1:11" ht="18" customHeight="1" x14ac:dyDescent="0.25">
      <c r="A43" s="250" t="s">
        <v>346</v>
      </c>
      <c r="B43" s="251" t="s">
        <v>55</v>
      </c>
      <c r="C43" s="248">
        <v>1515295.06</v>
      </c>
      <c r="D43" s="67"/>
      <c r="E43" s="194" t="s">
        <v>347</v>
      </c>
      <c r="F43" s="249">
        <v>648900</v>
      </c>
      <c r="G43" s="67"/>
      <c r="H43" s="89" t="s">
        <v>317</v>
      </c>
      <c r="I43" s="89"/>
      <c r="J43" s="166">
        <f>C43-F43</f>
        <v>866395.06</v>
      </c>
      <c r="K43" s="70"/>
    </row>
    <row r="44" spans="1:11" ht="18" customHeight="1" x14ac:dyDescent="0.25">
      <c r="A44" s="250" t="s">
        <v>348</v>
      </c>
      <c r="B44" s="251" t="s">
        <v>31</v>
      </c>
      <c r="C44" s="248">
        <v>78881.16</v>
      </c>
      <c r="D44" s="67"/>
      <c r="E44" s="194" t="s">
        <v>349</v>
      </c>
      <c r="F44" s="249">
        <v>78881.16</v>
      </c>
      <c r="G44" s="67"/>
      <c r="H44" s="89" t="s">
        <v>317</v>
      </c>
      <c r="I44" s="89"/>
      <c r="J44" s="166">
        <f>C44-F44</f>
        <v>0</v>
      </c>
      <c r="K44" s="70"/>
    </row>
    <row r="45" spans="1:11" ht="18" customHeight="1" x14ac:dyDescent="0.25">
      <c r="A45" s="337" t="s">
        <v>351</v>
      </c>
      <c r="B45" s="311" t="s">
        <v>31</v>
      </c>
      <c r="C45" s="311">
        <v>88698.75</v>
      </c>
      <c r="D45" s="311"/>
      <c r="E45" s="311" t="s">
        <v>350</v>
      </c>
      <c r="F45" s="249">
        <v>65808.75</v>
      </c>
      <c r="G45" s="67"/>
      <c r="H45" s="89" t="s">
        <v>317</v>
      </c>
      <c r="I45" s="89"/>
      <c r="J45" s="395">
        <f>C45-F45-F46</f>
        <v>0</v>
      </c>
      <c r="K45" s="70"/>
    </row>
    <row r="46" spans="1:11" ht="18" customHeight="1" x14ac:dyDescent="0.25">
      <c r="A46" s="339"/>
      <c r="B46" s="313"/>
      <c r="C46" s="313"/>
      <c r="D46" s="313"/>
      <c r="E46" s="313"/>
      <c r="F46" s="249">
        <v>22890</v>
      </c>
      <c r="G46" s="67"/>
      <c r="H46" s="89" t="s">
        <v>317</v>
      </c>
      <c r="I46" s="89"/>
      <c r="J46" s="396"/>
      <c r="K46" s="70"/>
    </row>
    <row r="47" spans="1:11" ht="18" customHeight="1" x14ac:dyDescent="0.25">
      <c r="A47" s="250" t="s">
        <v>352</v>
      </c>
      <c r="B47" s="251" t="s">
        <v>71</v>
      </c>
      <c r="C47" s="248">
        <v>380293.2</v>
      </c>
      <c r="D47" s="67"/>
      <c r="E47" s="194" t="s">
        <v>353</v>
      </c>
      <c r="F47" s="249">
        <v>0</v>
      </c>
      <c r="G47" s="67"/>
      <c r="H47" s="89"/>
      <c r="I47" s="89"/>
      <c r="J47" s="166">
        <f>C47-F47</f>
        <v>380293.2</v>
      </c>
      <c r="K47" s="70"/>
    </row>
    <row r="48" spans="1:11" ht="18" customHeight="1" x14ac:dyDescent="0.25">
      <c r="A48" s="250" t="s">
        <v>354</v>
      </c>
      <c r="B48" s="251" t="s">
        <v>71</v>
      </c>
      <c r="C48" s="248">
        <v>1348663.32</v>
      </c>
      <c r="D48" s="67"/>
      <c r="E48" s="194" t="s">
        <v>355</v>
      </c>
      <c r="F48" s="249">
        <v>0</v>
      </c>
      <c r="G48" s="67"/>
      <c r="H48" s="89"/>
      <c r="I48" s="89"/>
      <c r="J48" s="166">
        <f t="shared" ref="J48:J50" si="2">C48-F48</f>
        <v>1348663.32</v>
      </c>
      <c r="K48" s="70"/>
    </row>
    <row r="49" spans="1:11" ht="18" customHeight="1" x14ac:dyDescent="0.25">
      <c r="A49" s="250" t="s">
        <v>356</v>
      </c>
      <c r="B49" s="251" t="s">
        <v>71</v>
      </c>
      <c r="C49" s="248">
        <v>98576.760999999999</v>
      </c>
      <c r="D49" s="67"/>
      <c r="E49" s="194" t="s">
        <v>357</v>
      </c>
      <c r="F49" s="249">
        <v>0</v>
      </c>
      <c r="G49" s="67"/>
      <c r="H49" s="89"/>
      <c r="I49" s="89"/>
      <c r="J49" s="166">
        <f t="shared" si="2"/>
        <v>98576.760999999999</v>
      </c>
      <c r="K49" s="70"/>
    </row>
    <row r="50" spans="1:11" ht="18" customHeight="1" x14ac:dyDescent="0.25">
      <c r="A50" s="250" t="s">
        <v>358</v>
      </c>
      <c r="B50" s="251" t="s">
        <v>359</v>
      </c>
      <c r="C50" s="248">
        <f>113720.13*3.05</f>
        <v>346846.39649999997</v>
      </c>
      <c r="D50" s="67"/>
      <c r="E50" s="194" t="s">
        <v>360</v>
      </c>
      <c r="F50" s="249">
        <v>0</v>
      </c>
      <c r="G50" s="67"/>
      <c r="H50" s="89"/>
      <c r="I50" s="89"/>
      <c r="J50" s="166">
        <f t="shared" si="2"/>
        <v>346846.39649999997</v>
      </c>
      <c r="K50" s="70"/>
    </row>
    <row r="51" spans="1:11" ht="18" customHeight="1" x14ac:dyDescent="0.25">
      <c r="A51" s="250"/>
      <c r="B51" s="251"/>
      <c r="C51" s="248"/>
      <c r="D51" s="67"/>
      <c r="E51" s="194"/>
      <c r="F51" s="249"/>
      <c r="G51" s="67"/>
      <c r="H51" s="89"/>
      <c r="I51" s="89"/>
      <c r="J51" s="245"/>
      <c r="K51" s="70"/>
    </row>
    <row r="52" spans="1:11" ht="18" customHeight="1" x14ac:dyDescent="0.25">
      <c r="A52" s="250"/>
      <c r="B52" s="251"/>
      <c r="C52" s="248"/>
      <c r="D52" s="67"/>
      <c r="E52" s="194"/>
      <c r="F52" s="249"/>
      <c r="G52" s="67"/>
      <c r="H52" s="89"/>
      <c r="I52" s="89"/>
      <c r="J52" s="245"/>
      <c r="K52" s="70"/>
    </row>
    <row r="53" spans="1:11" ht="18" customHeight="1" x14ac:dyDescent="0.25">
      <c r="A53" s="250"/>
      <c r="B53" s="251"/>
      <c r="C53" s="248"/>
      <c r="D53" s="67"/>
      <c r="E53" s="194"/>
      <c r="F53" s="249"/>
      <c r="G53" s="67"/>
      <c r="H53" s="89"/>
      <c r="I53" s="89"/>
      <c r="J53" s="245"/>
      <c r="K53" s="70"/>
    </row>
    <row r="54" spans="1:11" ht="32.25" customHeight="1" x14ac:dyDescent="0.25">
      <c r="A54" s="258"/>
      <c r="B54" s="250"/>
      <c r="C54" s="248">
        <f>SUM(C5:C53)</f>
        <v>5865520.1754999999</v>
      </c>
      <c r="D54" s="248">
        <f t="shared" ref="D54:F54" si="3">SUM(D5:D53)</f>
        <v>0</v>
      </c>
      <c r="E54" s="248">
        <f t="shared" si="3"/>
        <v>0</v>
      </c>
      <c r="F54" s="248">
        <f t="shared" si="3"/>
        <v>1954451.7</v>
      </c>
      <c r="G54" s="248">
        <f t="shared" ref="G54" si="4">SUM(G5:G53)</f>
        <v>0</v>
      </c>
      <c r="H54" s="248">
        <f t="shared" ref="H54" si="5">SUM(H5:H53)</f>
        <v>0</v>
      </c>
      <c r="I54" s="248">
        <f t="shared" ref="I54" si="6">SUM(I5:I53)</f>
        <v>0</v>
      </c>
      <c r="J54" s="248">
        <f t="shared" ref="J54" si="7">SUM(J5:J53)</f>
        <v>3911068.4754999997</v>
      </c>
      <c r="K54" s="258"/>
    </row>
    <row r="55" spans="1:11" ht="32.25" customHeight="1" x14ac:dyDescent="0.25">
      <c r="A55" s="73"/>
      <c r="B55" s="84"/>
      <c r="C55" s="106"/>
      <c r="D55" s="74"/>
      <c r="E55" s="75"/>
      <c r="F55" s="203"/>
      <c r="G55" s="74"/>
      <c r="H55" s="74"/>
      <c r="I55" s="103"/>
      <c r="J55" s="259"/>
      <c r="K55" s="200"/>
    </row>
    <row r="56" spans="1:11" x14ac:dyDescent="0.25">
      <c r="K56" s="201"/>
    </row>
    <row r="57" spans="1:11" x14ac:dyDescent="0.25">
      <c r="K57" s="201"/>
    </row>
    <row r="58" spans="1:11" x14ac:dyDescent="0.25">
      <c r="D58" t="s">
        <v>47</v>
      </c>
      <c r="K58" s="201"/>
    </row>
    <row r="59" spans="1:11" ht="40.5" x14ac:dyDescent="0.25">
      <c r="A59" s="70" t="s">
        <v>72</v>
      </c>
      <c r="B59" s="105"/>
      <c r="C59" s="71"/>
      <c r="D59" s="72">
        <v>5610000</v>
      </c>
      <c r="K59" s="201"/>
    </row>
    <row r="60" spans="1:11" ht="40.5" x14ac:dyDescent="0.25">
      <c r="A60" s="70" t="s">
        <v>73</v>
      </c>
      <c r="B60" s="105"/>
      <c r="C60" s="71"/>
      <c r="D60" s="72">
        <v>1630000</v>
      </c>
      <c r="K60" s="201"/>
    </row>
    <row r="61" spans="1:11" ht="27" x14ac:dyDescent="0.25">
      <c r="A61" s="70" t="s">
        <v>74</v>
      </c>
      <c r="B61" s="105"/>
      <c r="C61" s="71"/>
      <c r="D61" s="72">
        <v>1510000</v>
      </c>
      <c r="K61" s="201"/>
    </row>
    <row r="62" spans="1:11" ht="40.5" x14ac:dyDescent="0.25">
      <c r="A62" s="70" t="s">
        <v>75</v>
      </c>
      <c r="B62" s="105"/>
      <c r="C62" s="71"/>
      <c r="D62" s="72">
        <v>100000</v>
      </c>
      <c r="K62" s="201"/>
    </row>
    <row r="63" spans="1:11" ht="32.25" customHeight="1" x14ac:dyDescent="0.25">
      <c r="A63" s="70" t="s">
        <v>87</v>
      </c>
      <c r="B63" s="105"/>
      <c r="C63" s="71"/>
      <c r="D63" s="72">
        <v>1150000</v>
      </c>
      <c r="K63" s="201"/>
    </row>
    <row r="64" spans="1:11" ht="32.25" customHeight="1" x14ac:dyDescent="0.25">
      <c r="D64" s="101">
        <f>SUBTOTAL(9,D59:D63)</f>
        <v>10000000</v>
      </c>
      <c r="K64" s="201"/>
    </row>
  </sheetData>
  <autoFilter ref="A4:K54"/>
  <mergeCells count="62">
    <mergeCell ref="C22:C23"/>
    <mergeCell ref="A1:I1"/>
    <mergeCell ref="A3:J3"/>
    <mergeCell ref="J15:J17"/>
    <mergeCell ref="A5:A8"/>
    <mergeCell ref="B5:B8"/>
    <mergeCell ref="C5:C8"/>
    <mergeCell ref="D5:D8"/>
    <mergeCell ref="E5:E8"/>
    <mergeCell ref="J5:J8"/>
    <mergeCell ref="A15:A17"/>
    <mergeCell ref="B15:B17"/>
    <mergeCell ref="C15:C17"/>
    <mergeCell ref="D15:D17"/>
    <mergeCell ref="E15:E17"/>
    <mergeCell ref="J13:J14"/>
    <mergeCell ref="J22:J23"/>
    <mergeCell ref="A13:A14"/>
    <mergeCell ref="B13:B14"/>
    <mergeCell ref="C13:C14"/>
    <mergeCell ref="D13:D14"/>
    <mergeCell ref="E13:E14"/>
    <mergeCell ref="D22:D23"/>
    <mergeCell ref="E22:E23"/>
    <mergeCell ref="A18:A20"/>
    <mergeCell ref="B18:B20"/>
    <mergeCell ref="C18:C20"/>
    <mergeCell ref="D18:D20"/>
    <mergeCell ref="E18:E20"/>
    <mergeCell ref="J18:J20"/>
    <mergeCell ref="A22:A23"/>
    <mergeCell ref="B22:B23"/>
    <mergeCell ref="A24:A25"/>
    <mergeCell ref="B24:B25"/>
    <mergeCell ref="C24:C25"/>
    <mergeCell ref="D24:D25"/>
    <mergeCell ref="E24:E25"/>
    <mergeCell ref="A41:A42"/>
    <mergeCell ref="B41:B42"/>
    <mergeCell ref="C41:C42"/>
    <mergeCell ref="D41:D42"/>
    <mergeCell ref="E41:E42"/>
    <mergeCell ref="A45:A46"/>
    <mergeCell ref="B45:B46"/>
    <mergeCell ref="C45:C46"/>
    <mergeCell ref="D45:D46"/>
    <mergeCell ref="E45:E46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J24:J25"/>
    <mergeCell ref="J28:J29"/>
    <mergeCell ref="J34:J35"/>
    <mergeCell ref="J41:J42"/>
    <mergeCell ref="J45:J4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workbookViewId="0">
      <selection activeCell="F11" sqref="F11:F12"/>
    </sheetView>
  </sheetViews>
  <sheetFormatPr defaultRowHeight="15" x14ac:dyDescent="0.25"/>
  <cols>
    <col min="1" max="1" width="44.85546875" style="9" customWidth="1"/>
    <col min="2" max="2" width="18.28515625" style="9" customWidth="1"/>
    <col min="3" max="3" width="16.140625" style="9" customWidth="1"/>
    <col min="4" max="4" width="18" style="9" customWidth="1"/>
    <col min="5" max="5" width="14.140625" style="9" customWidth="1"/>
    <col min="6" max="16384" width="9.140625" style="9"/>
  </cols>
  <sheetData>
    <row r="3" spans="1:9" ht="35.25" customHeight="1" x14ac:dyDescent="0.25">
      <c r="A3" s="145" t="s">
        <v>292</v>
      </c>
      <c r="B3" s="145" t="s">
        <v>47</v>
      </c>
      <c r="C3" s="145" t="s">
        <v>48</v>
      </c>
      <c r="D3" s="145" t="s">
        <v>290</v>
      </c>
      <c r="E3" s="145" t="s">
        <v>293</v>
      </c>
    </row>
    <row r="4" spans="1:9" ht="40.5" customHeight="1" x14ac:dyDescent="0.25">
      <c r="A4" s="70" t="s">
        <v>72</v>
      </c>
      <c r="B4" s="229">
        <v>5610000</v>
      </c>
      <c r="C4" s="229">
        <v>74716.320000000007</v>
      </c>
      <c r="D4" s="229">
        <v>74716.320000000007</v>
      </c>
      <c r="E4" s="229">
        <f>B4-D4</f>
        <v>5535283.6799999997</v>
      </c>
      <c r="G4" s="102"/>
      <c r="H4" s="109"/>
      <c r="I4" s="230"/>
    </row>
    <row r="5" spans="1:9" ht="40.5" customHeight="1" x14ac:dyDescent="0.25">
      <c r="A5" s="70" t="s">
        <v>73</v>
      </c>
      <c r="B5" s="229">
        <v>1630000</v>
      </c>
      <c r="C5" s="229">
        <v>220819.3</v>
      </c>
      <c r="D5" s="229">
        <v>220819.3</v>
      </c>
      <c r="E5" s="229">
        <f t="shared" ref="E5:E9" si="0">B5-D5</f>
        <v>1409180.7</v>
      </c>
      <c r="G5" s="102"/>
      <c r="H5" s="109"/>
      <c r="I5" s="230"/>
    </row>
    <row r="6" spans="1:9" ht="40.5" customHeight="1" x14ac:dyDescent="0.25">
      <c r="A6" s="70" t="s">
        <v>74</v>
      </c>
      <c r="B6" s="229">
        <v>1510000</v>
      </c>
      <c r="C6" s="229">
        <v>49001.4</v>
      </c>
      <c r="D6" s="229">
        <v>49001.4</v>
      </c>
      <c r="E6" s="229">
        <f t="shared" si="0"/>
        <v>1460998.6</v>
      </c>
      <c r="G6" s="102"/>
      <c r="H6" s="109"/>
      <c r="I6" s="230"/>
    </row>
    <row r="7" spans="1:9" ht="40.5" customHeight="1" x14ac:dyDescent="0.25">
      <c r="A7" s="70" t="s">
        <v>75</v>
      </c>
      <c r="B7" s="229">
        <v>100000</v>
      </c>
      <c r="C7" s="229">
        <v>10676.25</v>
      </c>
      <c r="D7" s="229">
        <v>10676.25</v>
      </c>
      <c r="E7" s="229">
        <f t="shared" si="0"/>
        <v>89323.75</v>
      </c>
      <c r="G7" s="102"/>
      <c r="H7" s="109"/>
      <c r="I7" s="230"/>
    </row>
    <row r="8" spans="1:9" ht="39.75" customHeight="1" x14ac:dyDescent="0.25">
      <c r="A8" s="228" t="s">
        <v>87</v>
      </c>
      <c r="B8" s="229">
        <v>1150000</v>
      </c>
      <c r="C8" s="229">
        <v>52398.63</v>
      </c>
      <c r="D8" s="229">
        <v>52398.63</v>
      </c>
      <c r="E8" s="229">
        <f t="shared" si="0"/>
        <v>1097601.3700000001</v>
      </c>
      <c r="G8" s="102"/>
      <c r="H8" s="109"/>
      <c r="I8" s="230"/>
    </row>
    <row r="9" spans="1:9" ht="41.25" customHeight="1" x14ac:dyDescent="0.25">
      <c r="A9" s="145" t="s">
        <v>291</v>
      </c>
      <c r="B9" s="231">
        <f>SUBTOTAL(9,B4:B8)</f>
        <v>10000000</v>
      </c>
      <c r="C9" s="231">
        <f>SUBTOTAL(9,C4:C8)</f>
        <v>407611.9</v>
      </c>
      <c r="D9" s="231">
        <f>SUBTOTAL(9,D4:D8)</f>
        <v>407611.9</v>
      </c>
      <c r="E9" s="231">
        <f t="shared" si="0"/>
        <v>9592388.0999999996</v>
      </c>
      <c r="G9" s="102"/>
      <c r="H9" s="109"/>
      <c r="I9" s="230"/>
    </row>
    <row r="10" spans="1:9" ht="29.25" customHeight="1" x14ac:dyDescent="0.25"/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ინკურ</vt:lpstr>
      <vt:lpstr>დიალიზი</vt:lpstr>
      <vt:lpstr>დიაბეტი</vt:lpstr>
      <vt:lpstr>ნარკომანია</vt:lpstr>
      <vt:lpstr>იშვიათი</vt:lpstr>
      <vt:lpstr>ჰეპატიტი</vt:lpstr>
      <vt:lpstr>დედათა და ბავშვთა</vt:lpstr>
      <vt:lpstr>ქრონიკული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qimeridze</dc:creator>
  <cp:lastModifiedBy>maia qimeridze</cp:lastModifiedBy>
  <cp:lastPrinted>2018-10-24T06:35:14Z</cp:lastPrinted>
  <dcterms:created xsi:type="dcterms:W3CDTF">2014-06-09T05:51:03Z</dcterms:created>
  <dcterms:modified xsi:type="dcterms:W3CDTF">2020-06-29T11:42:55Z</dcterms:modified>
</cp:coreProperties>
</file>